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M:\Secure Folders\Research\Work\Projects\.Cross-team Workgroups\WGRP_Unit Cost Database\4b. UCD - 2021 refresh\"/>
    </mc:Choice>
  </mc:AlternateContent>
  <xr:revisionPtr revIDLastSave="0" documentId="13_ncr:1_{F86E3B59-5EC1-40E8-85C7-3861EA419F9B}" xr6:coauthVersionLast="47" xr6:coauthVersionMax="47" xr10:uidLastSave="{00000000-0000-0000-0000-000000000000}"/>
  <bookViews>
    <workbookView xWindow="-108" yWindow="-108" windowWidth="23256" windowHeight="12576" tabRatio="839" xr2:uid="{00000000-000D-0000-FFFF-FFFF00000000}"/>
  </bookViews>
  <sheets>
    <sheet name="Introduction" sheetId="40" r:id="rId1"/>
    <sheet name="Guidance" sheetId="41" r:id="rId2"/>
    <sheet name="Crime      " sheetId="33" r:id="rId3"/>
    <sheet name="Education &amp; Skills" sheetId="48" r:id="rId4"/>
    <sheet name="Employment &amp; Economy" sheetId="35" r:id="rId5"/>
    <sheet name="Environment     " sheetId="51" r:id="rId6"/>
    <sheet name="Fire          " sheetId="37" r:id="rId7"/>
    <sheet name="Housing" sheetId="36" r:id="rId8"/>
    <sheet name="Health       " sheetId="13" r:id="rId9"/>
    <sheet name="Social Services" sheetId="49" r:id="rId10"/>
    <sheet name="Lookups" sheetId="24" r:id="rId11"/>
    <sheet name="v2.3.1 update log" sheetId="50" r:id="rId12"/>
  </sheets>
  <externalReferences>
    <externalReference r:id="rId13"/>
  </externalReferences>
  <definedNames>
    <definedName name="__123Graph_ADUMMY" localSheetId="5" hidden="1">[1]weekly!#REF!</definedName>
    <definedName name="__123Graph_ADUMMY" localSheetId="9" hidden="1">[1]weekly!#REF!</definedName>
    <definedName name="__123Graph_ADUMMY" localSheetId="11" hidden="1">[1]weekly!#REF!</definedName>
    <definedName name="__123Graph_ADUMMY" hidden="1">[1]weekly!#REF!</definedName>
    <definedName name="__123Graph_AMAIN" localSheetId="5" hidden="1">[1]weekly!#REF!</definedName>
    <definedName name="__123Graph_AMAIN" localSheetId="9" hidden="1">[1]weekly!#REF!</definedName>
    <definedName name="__123Graph_AMAIN" hidden="1">[1]weekly!#REF!</definedName>
    <definedName name="__123Graph_AMONTHLY" localSheetId="5" hidden="1">[1]weekly!#REF!</definedName>
    <definedName name="__123Graph_AMONTHLY" localSheetId="9" hidden="1">[1]weekly!#REF!</definedName>
    <definedName name="__123Graph_AMONTHLY" hidden="1">[1]weekly!#REF!</definedName>
    <definedName name="__123Graph_AMONTHLY2" localSheetId="5" hidden="1">[1]weekly!#REF!</definedName>
    <definedName name="__123Graph_AMONTHLY2" localSheetId="9" hidden="1">[1]weekly!#REF!</definedName>
    <definedName name="__123Graph_AMONTHLY2" hidden="1">[1]weekly!#REF!</definedName>
    <definedName name="__123Graph_BDUMMY" localSheetId="5" hidden="1">[1]weekly!#REF!</definedName>
    <definedName name="__123Graph_BDUMMY" localSheetId="9" hidden="1">[1]weekly!#REF!</definedName>
    <definedName name="__123Graph_BDUMMY" hidden="1">[1]weekly!#REF!</definedName>
    <definedName name="__123Graph_BMAIN" localSheetId="5" hidden="1">[1]weekly!#REF!</definedName>
    <definedName name="__123Graph_BMAIN" localSheetId="9" hidden="1">[1]weekly!#REF!</definedName>
    <definedName name="__123Graph_BMAIN" hidden="1">[1]weekly!#REF!</definedName>
    <definedName name="__123Graph_BMONTHLY" localSheetId="5" hidden="1">[1]weekly!#REF!</definedName>
    <definedName name="__123Graph_BMONTHLY" localSheetId="9" hidden="1">[1]weekly!#REF!</definedName>
    <definedName name="__123Graph_BMONTHLY" hidden="1">[1]weekly!#REF!</definedName>
    <definedName name="__123Graph_BMONTHLY2" localSheetId="5" hidden="1">[1]weekly!#REF!</definedName>
    <definedName name="__123Graph_BMONTHLY2" localSheetId="9" hidden="1">[1]weekly!#REF!</definedName>
    <definedName name="__123Graph_BMONTHLY2" hidden="1">[1]weekly!#REF!</definedName>
    <definedName name="__123Graph_CDUMMY" localSheetId="5" hidden="1">[1]weekly!#REF!</definedName>
    <definedName name="__123Graph_CDUMMY" localSheetId="9" hidden="1">[1]weekly!#REF!</definedName>
    <definedName name="__123Graph_CDUMMY" hidden="1">[1]weekly!#REF!</definedName>
    <definedName name="__123Graph_CMONTHLY" localSheetId="5" hidden="1">[1]weekly!#REF!</definedName>
    <definedName name="__123Graph_CMONTHLY" localSheetId="9" hidden="1">[1]weekly!#REF!</definedName>
    <definedName name="__123Graph_CMONTHLY" hidden="1">[1]weekly!#REF!</definedName>
    <definedName name="__123Graph_CMONTHLY2" localSheetId="5" hidden="1">[1]weekly!#REF!</definedName>
    <definedName name="__123Graph_CMONTHLY2" localSheetId="9" hidden="1">[1]weekly!#REF!</definedName>
    <definedName name="__123Graph_CMONTHLY2" hidden="1">[1]weekly!#REF!</definedName>
    <definedName name="__123Graph_DMONTHLY2" localSheetId="5" hidden="1">[1]weekly!#REF!</definedName>
    <definedName name="__123Graph_DMONTHLY2" localSheetId="9" hidden="1">[1]weekly!#REF!</definedName>
    <definedName name="__123Graph_DMONTHLY2" hidden="1">[1]weekly!#REF!</definedName>
    <definedName name="__123Graph_EMONTHLY2" localSheetId="5" hidden="1">[1]weekly!#REF!</definedName>
    <definedName name="__123Graph_EMONTHLY2" localSheetId="9" hidden="1">[1]weekly!#REF!</definedName>
    <definedName name="__123Graph_EMONTHLY2" hidden="1">[1]weekly!#REF!</definedName>
    <definedName name="__123Graph_FMONTHLY2" localSheetId="5" hidden="1">[1]weekly!#REF!</definedName>
    <definedName name="__123Graph_FMONTHLY2" localSheetId="9" hidden="1">[1]weekly!#REF!</definedName>
    <definedName name="__123Graph_FMONTHLY2" hidden="1">[1]weekly!#REF!</definedName>
    <definedName name="__123Graph_XMAIN" localSheetId="5" hidden="1">[1]weekly!#REF!</definedName>
    <definedName name="__123Graph_XMAIN" localSheetId="9" hidden="1">[1]weekly!#REF!</definedName>
    <definedName name="__123Graph_XMAIN" hidden="1">[1]weekly!#REF!</definedName>
    <definedName name="__123Graph_XMONTHLY" localSheetId="5" hidden="1">[1]weekly!#REF!</definedName>
    <definedName name="__123Graph_XMONTHLY" localSheetId="9" hidden="1">[1]weekly!#REF!</definedName>
    <definedName name="__123Graph_XMONTHLY" hidden="1">[1]weekly!#REF!</definedName>
    <definedName name="__123Graph_XMONTHLY2" localSheetId="5" hidden="1">[1]weekly!#REF!</definedName>
    <definedName name="__123Graph_XMONTHLY2" localSheetId="9" hidden="1">[1]weekly!#REF!</definedName>
    <definedName name="__123Graph_XMONTHLY2" hidden="1">[1]weekly!#REF!</definedName>
    <definedName name="_xlnm._FilterDatabase" localSheetId="2" hidden="1">'Crime      '!$A$2:$W$216</definedName>
    <definedName name="_xlnm._FilterDatabase" localSheetId="3" hidden="1">'Education &amp; Skills'!$A$2:$U$40</definedName>
    <definedName name="_xlnm._FilterDatabase" localSheetId="4" hidden="1">'Employment &amp; Economy'!$A$2:$AD$2</definedName>
    <definedName name="_xlnm._FilterDatabase" localSheetId="5" hidden="1">'Environment     '!$A$2:$U$96</definedName>
    <definedName name="_xlnm._FilterDatabase" localSheetId="8" hidden="1">'Health       '!$A$2:$V$233</definedName>
    <definedName name="_xlnm._FilterDatabase" localSheetId="7" hidden="1">Housing!$A$1:$V$73</definedName>
    <definedName name="_xlnm._FilterDatabase" localSheetId="9" hidden="1">'Social Services'!$A$2:$U$132</definedName>
    <definedName name="Level1agencysaving">Lookups!$F$10:$F$25</definedName>
    <definedName name="Level2agencysaving">Lookups!$G$10:$G$47</definedName>
    <definedName name="Outcomecategory">Lookups!$B$10:$B$18</definedName>
    <definedName name="Outcomedetail">Lookups!$D$10:$D$106</definedName>
    <definedName name="_xlnm.Print_Area" localSheetId="2">'Crime      '!$A$1:$U$210</definedName>
    <definedName name="_xlnm.Print_Area" localSheetId="3">'Education &amp; Skills'!$A$1:$U$40</definedName>
    <definedName name="_xlnm.Print_Area" localSheetId="4">'Employment &amp; Economy'!$A$1:$U$73</definedName>
    <definedName name="_xlnm.Print_Area" localSheetId="5">'Environment     '!$A$1:$U$94</definedName>
    <definedName name="_xlnm.Print_Area" localSheetId="6">'Fire          '!$A$1:$U$17</definedName>
    <definedName name="_xlnm.Print_Area" localSheetId="8">'Health       '!$A$1:$U$226</definedName>
    <definedName name="_xlnm.Print_Area" localSheetId="7">Housing!$A$1:$U$44</definedName>
    <definedName name="_xlnm.Print_Area" localSheetId="9">'Social Services'!$A$1:$U$132</definedName>
    <definedName name="_xlnm.Print_Area" localSheetId="11">'v2.3.1 update log'!$B$2:$E$23</definedName>
    <definedName name="_xlnm.Print_Titles" localSheetId="2">'Crime      '!$1:$2</definedName>
    <definedName name="_xlnm.Print_Titles" localSheetId="3">'Education &amp; Skills'!$1:$2</definedName>
    <definedName name="_xlnm.Print_Titles" localSheetId="4">'Employment &amp; Economy'!$1:$2</definedName>
    <definedName name="_xlnm.Print_Titles" localSheetId="5">'Environment     '!$1:$2</definedName>
    <definedName name="_xlnm.Print_Titles" localSheetId="6">'Fire          '!$1:$2</definedName>
    <definedName name="_xlnm.Print_Titles" localSheetId="8">'Health       '!$1:$2</definedName>
    <definedName name="_xlnm.Print_Titles" localSheetId="7">Housing!$1:$2</definedName>
    <definedName name="_xlnm.Print_Titles" localSheetId="9">'Social Services'!$1:$2</definedName>
    <definedName name="_xlnm.Print_Titles" localSheetId="11">'v2.3.1 update log'!$2:$2</definedName>
    <definedName name="RAGassessment">Lookups!$V$10:$V$12</definedName>
    <definedName name="Unit">Lookups!$I$10:$I$119</definedName>
    <definedName name="Update">Lookups!$X$10:$X$11</definedName>
    <definedName name="Year">Lookups!$T$10:$T$44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3" i="13" l="1"/>
  <c r="M233" i="13"/>
  <c r="J233" i="13"/>
  <c r="P232" i="13"/>
  <c r="M232" i="13"/>
  <c r="J232" i="13"/>
  <c r="P229" i="13"/>
  <c r="M229" i="13"/>
  <c r="J229" i="13"/>
  <c r="P228" i="13"/>
  <c r="M228" i="13"/>
  <c r="J228" i="13"/>
  <c r="P111" i="49" l="1"/>
  <c r="M111" i="49"/>
  <c r="J111" i="49"/>
  <c r="P108" i="49"/>
  <c r="M108" i="49"/>
  <c r="J108" i="49"/>
  <c r="P85" i="49"/>
  <c r="M85" i="49"/>
  <c r="J85" i="49"/>
  <c r="P202" i="13" l="1"/>
  <c r="M202" i="13"/>
  <c r="J202" i="13"/>
  <c r="P201" i="13"/>
  <c r="M201" i="13"/>
  <c r="J201" i="13"/>
  <c r="K107" i="49"/>
  <c r="H107" i="49"/>
  <c r="K61" i="49"/>
  <c r="M61" i="49" s="1"/>
  <c r="H61" i="49"/>
  <c r="H58" i="49" s="1"/>
  <c r="P155" i="13" l="1"/>
  <c r="M155" i="13"/>
  <c r="J155" i="13"/>
  <c r="P154" i="13"/>
  <c r="M154" i="13"/>
  <c r="J154" i="13"/>
  <c r="P153" i="13"/>
  <c r="M153" i="13"/>
  <c r="J153" i="13"/>
  <c r="P152" i="13"/>
  <c r="M152" i="13"/>
  <c r="J152" i="13"/>
  <c r="P151" i="13"/>
  <c r="M151" i="13"/>
  <c r="J151" i="13"/>
  <c r="P150" i="13"/>
  <c r="M150" i="13"/>
  <c r="J150" i="13"/>
  <c r="P149" i="13"/>
  <c r="M149" i="13"/>
  <c r="J149" i="13"/>
  <c r="P148" i="13"/>
  <c r="M148" i="13"/>
  <c r="J148" i="13"/>
  <c r="P107" i="13" l="1"/>
  <c r="M107" i="13"/>
  <c r="J107" i="13"/>
  <c r="P110" i="13"/>
  <c r="M110" i="13"/>
  <c r="J110" i="13"/>
  <c r="N28" i="51"/>
  <c r="N27" i="51"/>
  <c r="K26" i="51"/>
  <c r="K25" i="51"/>
  <c r="N24" i="51"/>
  <c r="N23" i="51"/>
  <c r="K22" i="51"/>
  <c r="N21" i="51"/>
  <c r="N20" i="51"/>
  <c r="N19" i="51"/>
  <c r="N18" i="51"/>
  <c r="K16" i="51"/>
  <c r="K15" i="51"/>
  <c r="K14" i="51"/>
  <c r="N13" i="51"/>
  <c r="N12" i="51"/>
  <c r="N11" i="51"/>
  <c r="N10" i="51"/>
  <c r="K9" i="51"/>
  <c r="K8" i="51"/>
  <c r="K7" i="51"/>
  <c r="K6" i="51"/>
  <c r="K5" i="51"/>
  <c r="K4" i="51"/>
  <c r="H82" i="49" l="1"/>
  <c r="K83" i="49"/>
  <c r="H83" i="49"/>
  <c r="K57" i="49"/>
  <c r="H57" i="49"/>
  <c r="K81" i="49" l="1"/>
  <c r="H81" i="49"/>
  <c r="K80" i="49"/>
  <c r="H80" i="49"/>
  <c r="K79" i="49"/>
  <c r="H79" i="49"/>
  <c r="K78" i="49"/>
  <c r="H78" i="49"/>
  <c r="K77" i="49"/>
  <c r="H77" i="49"/>
  <c r="K76" i="49"/>
  <c r="H76" i="49"/>
  <c r="K75" i="49"/>
  <c r="H75" i="49"/>
  <c r="K74" i="49"/>
  <c r="H74" i="49"/>
  <c r="K73" i="49"/>
  <c r="H73" i="49"/>
  <c r="K72" i="49"/>
  <c r="H72" i="49"/>
  <c r="K71" i="49"/>
  <c r="H71" i="49"/>
  <c r="K70" i="49"/>
  <c r="H70" i="49"/>
  <c r="K69" i="49"/>
  <c r="H69" i="49"/>
  <c r="K68" i="49"/>
  <c r="H68" i="49"/>
  <c r="K67" i="49"/>
  <c r="H67" i="49"/>
  <c r="K66" i="49"/>
  <c r="H66" i="49"/>
  <c r="K65" i="49"/>
  <c r="H65" i="49"/>
  <c r="K64" i="49"/>
  <c r="H64" i="49"/>
  <c r="K63" i="49"/>
  <c r="H63" i="49"/>
  <c r="K62" i="49"/>
  <c r="H62" i="49"/>
  <c r="K93" i="49"/>
  <c r="H93" i="49"/>
  <c r="K92" i="49"/>
  <c r="K91" i="49" s="1"/>
  <c r="H92" i="49"/>
  <c r="H91" i="49" s="1"/>
  <c r="P123" i="13" l="1"/>
  <c r="M123" i="13"/>
  <c r="J123" i="13"/>
  <c r="P122" i="13"/>
  <c r="M122" i="13"/>
  <c r="J122" i="13"/>
  <c r="P124" i="13"/>
  <c r="M124" i="13"/>
  <c r="J124" i="13"/>
  <c r="P125" i="13"/>
  <c r="M125" i="13"/>
  <c r="J125" i="13"/>
  <c r="P100" i="13"/>
  <c r="M100" i="13"/>
  <c r="J100" i="13"/>
  <c r="P98" i="13"/>
  <c r="M98" i="13"/>
  <c r="J98" i="13"/>
  <c r="P94" i="13"/>
  <c r="M94" i="13"/>
  <c r="J94" i="13"/>
  <c r="P121" i="13"/>
  <c r="M121" i="13"/>
  <c r="J121" i="13"/>
  <c r="P89" i="13"/>
  <c r="M89" i="13"/>
  <c r="J89" i="13"/>
  <c r="P85" i="13" l="1"/>
  <c r="J85" i="13"/>
  <c r="M85" i="13"/>
  <c r="R19" i="24"/>
  <c r="O43" i="24"/>
  <c r="P43" i="24"/>
  <c r="O44" i="24"/>
  <c r="P44" i="24" s="1"/>
  <c r="R43" i="24" s="1"/>
  <c r="R44" i="24"/>
  <c r="P59" i="36" l="1"/>
  <c r="J59" i="36"/>
  <c r="J60" i="36"/>
  <c r="P60" i="36"/>
  <c r="P58" i="36"/>
  <c r="J58" i="36"/>
  <c r="P45" i="36"/>
  <c r="P46" i="36" l="1"/>
  <c r="J46" i="36"/>
  <c r="M146" i="13" l="1"/>
  <c r="P146" i="13"/>
  <c r="J37" i="51" l="1"/>
  <c r="J36" i="51"/>
  <c r="J35" i="51"/>
  <c r="J34" i="51"/>
  <c r="J33" i="51"/>
  <c r="J32" i="51"/>
  <c r="J31" i="51"/>
  <c r="J30" i="51"/>
  <c r="J29" i="51"/>
  <c r="J28" i="51"/>
  <c r="J27" i="51"/>
  <c r="J26" i="51"/>
  <c r="J25" i="51"/>
  <c r="J24" i="51"/>
  <c r="J23" i="51"/>
  <c r="J22" i="51"/>
  <c r="J21" i="51"/>
  <c r="J20" i="51"/>
  <c r="J19" i="51"/>
  <c r="J18" i="51"/>
  <c r="J17" i="51"/>
  <c r="J16" i="51"/>
  <c r="J15" i="51"/>
  <c r="J14" i="51"/>
  <c r="J13" i="51"/>
  <c r="J12" i="51"/>
  <c r="J11" i="51"/>
  <c r="J10" i="51"/>
  <c r="J9" i="51"/>
  <c r="J8" i="51"/>
  <c r="J7" i="51"/>
  <c r="J6" i="51"/>
  <c r="J5" i="51"/>
  <c r="J4" i="51"/>
  <c r="J3" i="51"/>
  <c r="M10" i="51"/>
  <c r="M11" i="51"/>
  <c r="M12" i="51"/>
  <c r="M13" i="51"/>
  <c r="M18" i="51"/>
  <c r="M19" i="51"/>
  <c r="M20" i="51"/>
  <c r="M21" i="51"/>
  <c r="M23" i="51"/>
  <c r="M24" i="51"/>
  <c r="M27" i="51"/>
  <c r="M28" i="51"/>
  <c r="P29" i="51"/>
  <c r="P26" i="51"/>
  <c r="P25" i="51"/>
  <c r="P22" i="51"/>
  <c r="P17" i="51"/>
  <c r="P16" i="51"/>
  <c r="P15" i="51"/>
  <c r="P14" i="51"/>
  <c r="P9" i="51"/>
  <c r="P8" i="51"/>
  <c r="P7" i="51"/>
  <c r="P6" i="51"/>
  <c r="P5" i="51"/>
  <c r="P4" i="51"/>
  <c r="P3" i="51"/>
  <c r="K29" i="51" l="1"/>
  <c r="K17" i="51" l="1"/>
  <c r="K81" i="51" l="1"/>
  <c r="P20" i="48" l="1"/>
  <c r="P21" i="48"/>
  <c r="P19" i="48"/>
  <c r="J19" i="48"/>
  <c r="H98" i="49" l="1"/>
  <c r="M60" i="49" l="1"/>
  <c r="P57" i="49"/>
  <c r="P40" i="51"/>
  <c r="P41" i="51"/>
  <c r="P42" i="51"/>
  <c r="P43" i="51"/>
  <c r="P44" i="51"/>
  <c r="P45" i="51"/>
  <c r="P46" i="51"/>
  <c r="P47" i="51"/>
  <c r="P49" i="51"/>
  <c r="P50" i="51"/>
  <c r="P51" i="51"/>
  <c r="P53" i="51"/>
  <c r="P54" i="51"/>
  <c r="P55" i="51"/>
  <c r="P56" i="51"/>
  <c r="P57" i="51"/>
  <c r="P59" i="51"/>
  <c r="P60" i="51"/>
  <c r="P61" i="51"/>
  <c r="P62" i="51"/>
  <c r="P63" i="51"/>
  <c r="P64" i="51"/>
  <c r="P66" i="51"/>
  <c r="P67" i="51"/>
  <c r="P68" i="51"/>
  <c r="P69" i="51"/>
  <c r="P70" i="51"/>
  <c r="P71" i="51"/>
  <c r="P72" i="51"/>
  <c r="P73" i="51"/>
  <c r="P74" i="51"/>
  <c r="P75" i="51"/>
  <c r="P76" i="51"/>
  <c r="P77" i="51"/>
  <c r="P78" i="51"/>
  <c r="P79" i="51"/>
  <c r="P82" i="51"/>
  <c r="P83" i="51"/>
  <c r="P84" i="51"/>
  <c r="P85" i="51"/>
  <c r="P86" i="51"/>
  <c r="P87" i="51"/>
  <c r="P88" i="51"/>
  <c r="P89" i="51"/>
  <c r="P90" i="51"/>
  <c r="P91" i="51"/>
  <c r="P94" i="51"/>
  <c r="P95" i="51"/>
  <c r="P96" i="51"/>
  <c r="M30" i="51"/>
  <c r="M31" i="51"/>
  <c r="M32" i="51"/>
  <c r="M33" i="51"/>
  <c r="M34" i="51"/>
  <c r="M35" i="51"/>
  <c r="M36" i="51"/>
  <c r="M37" i="51"/>
  <c r="M93" i="51"/>
  <c r="J46" i="51"/>
  <c r="J47" i="51"/>
  <c r="J48" i="51"/>
  <c r="J49" i="51"/>
  <c r="J50" i="51"/>
  <c r="J51" i="51"/>
  <c r="J52" i="51"/>
  <c r="J53" i="51"/>
  <c r="J54" i="51"/>
  <c r="J55" i="51"/>
  <c r="J56" i="51"/>
  <c r="J57" i="51"/>
  <c r="J58" i="51"/>
  <c r="J59" i="51"/>
  <c r="J60" i="51"/>
  <c r="J61" i="51"/>
  <c r="J62" i="51"/>
  <c r="J63" i="51"/>
  <c r="J64" i="51"/>
  <c r="J65" i="51"/>
  <c r="J66" i="51"/>
  <c r="J67" i="51"/>
  <c r="J68" i="51"/>
  <c r="J69" i="51"/>
  <c r="J70" i="51"/>
  <c r="J71" i="51"/>
  <c r="J72" i="51"/>
  <c r="J73" i="51"/>
  <c r="J74" i="51"/>
  <c r="J75" i="51"/>
  <c r="J76" i="51"/>
  <c r="J77" i="51"/>
  <c r="J78" i="51"/>
  <c r="J79" i="51"/>
  <c r="J80" i="51"/>
  <c r="J81" i="51"/>
  <c r="J82" i="51"/>
  <c r="J83" i="51"/>
  <c r="J84" i="51"/>
  <c r="J85" i="51"/>
  <c r="J86" i="51"/>
  <c r="J87" i="51"/>
  <c r="J88" i="51"/>
  <c r="J89" i="51"/>
  <c r="J90" i="51"/>
  <c r="J91" i="51"/>
  <c r="J92" i="51"/>
  <c r="J93" i="51"/>
  <c r="J94" i="51"/>
  <c r="J95" i="51"/>
  <c r="J96" i="51"/>
  <c r="P4" i="49"/>
  <c r="P5" i="49"/>
  <c r="P6" i="49"/>
  <c r="P7" i="49"/>
  <c r="P8" i="49"/>
  <c r="P9" i="49"/>
  <c r="P10" i="49"/>
  <c r="P11" i="49"/>
  <c r="P12" i="49"/>
  <c r="P13" i="49"/>
  <c r="P14" i="49"/>
  <c r="P15" i="49"/>
  <c r="P16" i="49"/>
  <c r="P17" i="49"/>
  <c r="P18" i="49"/>
  <c r="P19" i="49"/>
  <c r="P20" i="49"/>
  <c r="P21" i="49"/>
  <c r="P22" i="49"/>
  <c r="P23" i="49"/>
  <c r="P24" i="49"/>
  <c r="P25" i="49"/>
  <c r="P26" i="49"/>
  <c r="P27" i="49"/>
  <c r="P28" i="49"/>
  <c r="P29" i="49"/>
  <c r="P30" i="49"/>
  <c r="P31" i="49"/>
  <c r="P32" i="49"/>
  <c r="P33" i="49"/>
  <c r="P34" i="49"/>
  <c r="P35" i="49"/>
  <c r="P36" i="49"/>
  <c r="P37" i="49"/>
  <c r="P38" i="49"/>
  <c r="P39" i="49"/>
  <c r="P40" i="49"/>
  <c r="P41" i="49"/>
  <c r="P42" i="49"/>
  <c r="P43" i="49"/>
  <c r="P44" i="49"/>
  <c r="P45" i="49"/>
  <c r="P46" i="49"/>
  <c r="P47" i="49"/>
  <c r="P48" i="49"/>
  <c r="P49" i="49"/>
  <c r="P50" i="49"/>
  <c r="P51" i="49"/>
  <c r="P52" i="49"/>
  <c r="P53" i="49"/>
  <c r="P54" i="49"/>
  <c r="P55" i="49"/>
  <c r="P56" i="49"/>
  <c r="P58" i="49"/>
  <c r="P59" i="49"/>
  <c r="P60" i="49"/>
  <c r="P61" i="49"/>
  <c r="P82" i="49"/>
  <c r="P83" i="49"/>
  <c r="P84" i="49"/>
  <c r="P86" i="49"/>
  <c r="P87" i="49"/>
  <c r="P88" i="49"/>
  <c r="P89" i="49"/>
  <c r="P90" i="49"/>
  <c r="P91" i="49"/>
  <c r="P92" i="49"/>
  <c r="P93" i="49"/>
  <c r="P94" i="49"/>
  <c r="P95" i="49"/>
  <c r="P96" i="49"/>
  <c r="P97" i="49"/>
  <c r="P98" i="49"/>
  <c r="P99" i="49"/>
  <c r="P100" i="49"/>
  <c r="P101" i="49"/>
  <c r="P102" i="49"/>
  <c r="P103" i="49"/>
  <c r="P104" i="49"/>
  <c r="P105" i="49"/>
  <c r="P106" i="49"/>
  <c r="P109" i="49"/>
  <c r="P110" i="49"/>
  <c r="P107" i="49"/>
  <c r="P62" i="49"/>
  <c r="P63" i="49"/>
  <c r="P64" i="49"/>
  <c r="P65" i="49"/>
  <c r="P66" i="49"/>
  <c r="P67" i="49"/>
  <c r="P68" i="49"/>
  <c r="P69" i="49"/>
  <c r="P70" i="49"/>
  <c r="P71" i="49"/>
  <c r="P72" i="49"/>
  <c r="P73" i="49"/>
  <c r="P74" i="49"/>
  <c r="P75" i="49"/>
  <c r="P76" i="49"/>
  <c r="P77" i="49"/>
  <c r="P78" i="49"/>
  <c r="P79" i="49"/>
  <c r="P80" i="49"/>
  <c r="P81" i="49"/>
  <c r="P112" i="49"/>
  <c r="P113" i="49"/>
  <c r="P114" i="49"/>
  <c r="P115" i="49"/>
  <c r="P116" i="49"/>
  <c r="P117" i="49"/>
  <c r="P118" i="49"/>
  <c r="P119" i="49"/>
  <c r="P120" i="49"/>
  <c r="P121" i="49"/>
  <c r="P122" i="49"/>
  <c r="P123" i="49"/>
  <c r="P124" i="49"/>
  <c r="P125" i="49"/>
  <c r="P126" i="49"/>
  <c r="P127" i="49"/>
  <c r="P128" i="49"/>
  <c r="P129" i="49"/>
  <c r="P130" i="49"/>
  <c r="P131" i="49"/>
  <c r="P132" i="49"/>
  <c r="M4" i="49"/>
  <c r="M5" i="49"/>
  <c r="M6" i="49"/>
  <c r="M7" i="49"/>
  <c r="M8" i="49"/>
  <c r="M9" i="49"/>
  <c r="M10" i="49"/>
  <c r="M11" i="49"/>
  <c r="M12" i="49"/>
  <c r="M13" i="49"/>
  <c r="M14" i="49"/>
  <c r="M15" i="49"/>
  <c r="M16" i="49"/>
  <c r="M17" i="49"/>
  <c r="M18" i="49"/>
  <c r="M19" i="49"/>
  <c r="M20" i="49"/>
  <c r="M21" i="49"/>
  <c r="M22" i="49"/>
  <c r="M23" i="49"/>
  <c r="M24" i="49"/>
  <c r="M25" i="49"/>
  <c r="M26" i="49"/>
  <c r="M27" i="49"/>
  <c r="M28" i="49"/>
  <c r="M29" i="49"/>
  <c r="M30" i="49"/>
  <c r="M31" i="49"/>
  <c r="M32" i="49"/>
  <c r="M33" i="49"/>
  <c r="M34" i="49"/>
  <c r="M35" i="49"/>
  <c r="M36" i="49"/>
  <c r="M37" i="49"/>
  <c r="M38" i="49"/>
  <c r="M39" i="49"/>
  <c r="M40" i="49"/>
  <c r="M41" i="49"/>
  <c r="M42" i="49"/>
  <c r="M43" i="49"/>
  <c r="M44" i="49"/>
  <c r="M45" i="49"/>
  <c r="M46" i="49"/>
  <c r="M47" i="49"/>
  <c r="M48" i="49"/>
  <c r="M49" i="49"/>
  <c r="M50" i="49"/>
  <c r="M51" i="49"/>
  <c r="M52" i="49"/>
  <c r="M53" i="49"/>
  <c r="M54" i="49"/>
  <c r="M55" i="49"/>
  <c r="M56" i="49"/>
  <c r="M59" i="49"/>
  <c r="M84" i="49"/>
  <c r="M86" i="49"/>
  <c r="M87" i="49"/>
  <c r="M88" i="49"/>
  <c r="M89" i="49"/>
  <c r="M90" i="49"/>
  <c r="M94" i="49"/>
  <c r="M95" i="49"/>
  <c r="M96" i="49"/>
  <c r="M97" i="49"/>
  <c r="M99" i="49"/>
  <c r="M100" i="49"/>
  <c r="M101" i="49"/>
  <c r="M102" i="49"/>
  <c r="M103" i="49"/>
  <c r="M104" i="49"/>
  <c r="M105" i="49"/>
  <c r="M106" i="49"/>
  <c r="M112" i="49"/>
  <c r="M113" i="49"/>
  <c r="M114" i="49"/>
  <c r="M116" i="49"/>
  <c r="M117" i="49"/>
  <c r="M118" i="49"/>
  <c r="M119" i="49"/>
  <c r="M121" i="49"/>
  <c r="M122" i="49"/>
  <c r="M123" i="49"/>
  <c r="M124" i="49"/>
  <c r="M125" i="49"/>
  <c r="M126" i="49"/>
  <c r="M127" i="49"/>
  <c r="M128" i="49"/>
  <c r="M129" i="49"/>
  <c r="M130" i="49"/>
  <c r="M131" i="49"/>
  <c r="M132" i="49"/>
  <c r="P4" i="36"/>
  <c r="P5" i="36"/>
  <c r="P6" i="36"/>
  <c r="P7" i="36"/>
  <c r="P8" i="36"/>
  <c r="P9" i="36"/>
  <c r="P10" i="36"/>
  <c r="P11" i="36"/>
  <c r="P12" i="36"/>
  <c r="P13" i="36"/>
  <c r="P14" i="36"/>
  <c r="P15" i="36"/>
  <c r="P16" i="36"/>
  <c r="P17" i="36"/>
  <c r="P18" i="36"/>
  <c r="P19" i="36"/>
  <c r="P20" i="36"/>
  <c r="P21" i="36"/>
  <c r="P22" i="36"/>
  <c r="P23" i="36"/>
  <c r="P24" i="36"/>
  <c r="P25" i="36"/>
  <c r="P26" i="36"/>
  <c r="P27" i="36"/>
  <c r="P28" i="36"/>
  <c r="P29" i="36"/>
  <c r="P35" i="36"/>
  <c r="P36" i="36"/>
  <c r="P37" i="36"/>
  <c r="P38" i="36"/>
  <c r="P39" i="36"/>
  <c r="P40" i="36"/>
  <c r="P41" i="36"/>
  <c r="P42" i="36"/>
  <c r="P43" i="36"/>
  <c r="P44" i="36"/>
  <c r="P47" i="36"/>
  <c r="P48" i="36"/>
  <c r="P49" i="36"/>
  <c r="P50" i="36"/>
  <c r="P51" i="36"/>
  <c r="P52" i="36"/>
  <c r="P53" i="36"/>
  <c r="P54" i="36"/>
  <c r="P55" i="36"/>
  <c r="P56" i="36"/>
  <c r="P57" i="36"/>
  <c r="P61" i="36"/>
  <c r="P62" i="36"/>
  <c r="P63" i="36"/>
  <c r="P64" i="36"/>
  <c r="P65" i="36"/>
  <c r="P66" i="36"/>
  <c r="P67" i="36"/>
  <c r="P68" i="36"/>
  <c r="P69" i="36"/>
  <c r="P70" i="36"/>
  <c r="P71" i="36"/>
  <c r="P72" i="36"/>
  <c r="P73" i="36"/>
  <c r="P30" i="36"/>
  <c r="P31" i="36"/>
  <c r="P32" i="36"/>
  <c r="P33" i="36"/>
  <c r="P34" i="36"/>
  <c r="P3" i="36"/>
  <c r="M4" i="36"/>
  <c r="M5" i="36"/>
  <c r="M6" i="36"/>
  <c r="M7" i="36"/>
  <c r="M8" i="36"/>
  <c r="M9" i="36"/>
  <c r="M10" i="36"/>
  <c r="M11" i="36"/>
  <c r="M12" i="36"/>
  <c r="M13" i="36"/>
  <c r="M14" i="36"/>
  <c r="M15" i="36"/>
  <c r="M16" i="36"/>
  <c r="M17" i="36"/>
  <c r="M18" i="36"/>
  <c r="M19" i="36"/>
  <c r="M20" i="36"/>
  <c r="M21" i="36"/>
  <c r="M22" i="36"/>
  <c r="M23" i="36"/>
  <c r="M24" i="36"/>
  <c r="M25" i="36"/>
  <c r="M26" i="36"/>
  <c r="M27" i="36"/>
  <c r="M28" i="36"/>
  <c r="M29" i="36"/>
  <c r="M35" i="36"/>
  <c r="M36" i="36"/>
  <c r="M37" i="36"/>
  <c r="M38" i="36"/>
  <c r="M39" i="36"/>
  <c r="M40" i="36"/>
  <c r="M41" i="36"/>
  <c r="M42" i="36"/>
  <c r="M43" i="36"/>
  <c r="M44" i="36"/>
  <c r="M73" i="36"/>
  <c r="M30" i="36"/>
  <c r="M31" i="36"/>
  <c r="M32" i="36"/>
  <c r="M33" i="36"/>
  <c r="M34" i="36"/>
  <c r="M3" i="36"/>
  <c r="P176" i="13"/>
  <c r="P177" i="13"/>
  <c r="P178" i="13"/>
  <c r="P179" i="13"/>
  <c r="P180" i="13"/>
  <c r="P181" i="13"/>
  <c r="P182" i="13"/>
  <c r="P183" i="13"/>
  <c r="P184" i="13"/>
  <c r="P185" i="13"/>
  <c r="P186" i="13"/>
  <c r="P187" i="13"/>
  <c r="P191" i="13"/>
  <c r="P193" i="13"/>
  <c r="P194" i="13"/>
  <c r="P195" i="13"/>
  <c r="P196" i="13"/>
  <c r="P197" i="13"/>
  <c r="P198" i="13"/>
  <c r="P199" i="13"/>
  <c r="P200" i="13"/>
  <c r="P203" i="13"/>
  <c r="P204" i="13"/>
  <c r="P205" i="13"/>
  <c r="P206" i="13"/>
  <c r="P207" i="13"/>
  <c r="P208" i="13"/>
  <c r="P209" i="13"/>
  <c r="P210" i="13"/>
  <c r="P3" i="13"/>
  <c r="P4" i="13"/>
  <c r="P5" i="13"/>
  <c r="P6" i="13"/>
  <c r="P7" i="13"/>
  <c r="P8" i="13"/>
  <c r="P9" i="13"/>
  <c r="P10" i="13"/>
  <c r="P11" i="13"/>
  <c r="P12" i="13"/>
  <c r="P13" i="13"/>
  <c r="P14" i="13"/>
  <c r="P15" i="13"/>
  <c r="P16" i="13"/>
  <c r="P17" i="13"/>
  <c r="P18" i="13"/>
  <c r="P19" i="13"/>
  <c r="P20" i="13"/>
  <c r="P21" i="13"/>
  <c r="P22" i="13"/>
  <c r="P23" i="13"/>
  <c r="P24" i="13"/>
  <c r="P25" i="13"/>
  <c r="P26" i="13"/>
  <c r="P167" i="13"/>
  <c r="P163" i="13"/>
  <c r="P27" i="13"/>
  <c r="P28" i="13"/>
  <c r="P29" i="13"/>
  <c r="P30" i="13"/>
  <c r="P31" i="13"/>
  <c r="P32" i="13"/>
  <c r="P33" i="13"/>
  <c r="P34" i="13"/>
  <c r="P35" i="13"/>
  <c r="P36" i="13"/>
  <c r="P37" i="13"/>
  <c r="P38" i="13"/>
  <c r="P39" i="13"/>
  <c r="P40" i="13"/>
  <c r="P41" i="13"/>
  <c r="P42" i="13"/>
  <c r="P43" i="13"/>
  <c r="P44" i="13"/>
  <c r="P45" i="13"/>
  <c r="P46" i="13"/>
  <c r="P47" i="13"/>
  <c r="P48" i="13"/>
  <c r="P52" i="13"/>
  <c r="P53" i="13"/>
  <c r="P54" i="13"/>
  <c r="P55" i="13"/>
  <c r="P56" i="13"/>
  <c r="P57" i="13"/>
  <c r="P58" i="13"/>
  <c r="P59" i="13"/>
  <c r="P60" i="13"/>
  <c r="P61" i="13"/>
  <c r="P62" i="13"/>
  <c r="P63" i="13"/>
  <c r="P64" i="13"/>
  <c r="P65" i="13"/>
  <c r="P66" i="13"/>
  <c r="P67" i="13"/>
  <c r="P68" i="13"/>
  <c r="P50" i="13"/>
  <c r="P49" i="13"/>
  <c r="P51" i="13"/>
  <c r="P71" i="13"/>
  <c r="P72" i="13"/>
  <c r="P73" i="13"/>
  <c r="P74" i="13"/>
  <c r="P75" i="13"/>
  <c r="P76" i="13"/>
  <c r="P77" i="13"/>
  <c r="P78" i="13"/>
  <c r="P79" i="13"/>
  <c r="P80" i="13"/>
  <c r="P81" i="13"/>
  <c r="P82" i="13"/>
  <c r="P83" i="13"/>
  <c r="P84" i="13"/>
  <c r="P86" i="13"/>
  <c r="P87" i="13"/>
  <c r="P88" i="13"/>
  <c r="P90" i="13"/>
  <c r="P91" i="13"/>
  <c r="P92" i="13"/>
  <c r="P93" i="13"/>
  <c r="P95" i="13"/>
  <c r="P96" i="13"/>
  <c r="P97" i="13"/>
  <c r="P99" i="13"/>
  <c r="P101" i="13"/>
  <c r="P102" i="13"/>
  <c r="P103" i="13"/>
  <c r="P104" i="13"/>
  <c r="P105" i="13"/>
  <c r="P106" i="13"/>
  <c r="P108" i="13"/>
  <c r="P109" i="13"/>
  <c r="P111" i="13"/>
  <c r="P112" i="13"/>
  <c r="P113" i="13"/>
  <c r="P114" i="13"/>
  <c r="P115" i="13"/>
  <c r="P116" i="13"/>
  <c r="P117" i="13"/>
  <c r="P118" i="13"/>
  <c r="P119" i="13"/>
  <c r="P120" i="13"/>
  <c r="P126" i="13"/>
  <c r="P127" i="13"/>
  <c r="P128" i="13"/>
  <c r="P217" i="13"/>
  <c r="P218" i="13"/>
  <c r="P219" i="13"/>
  <c r="P220" i="13"/>
  <c r="P133" i="13"/>
  <c r="P129" i="13"/>
  <c r="P130" i="13"/>
  <c r="P131" i="13"/>
  <c r="P132" i="13"/>
  <c r="P134" i="13"/>
  <c r="P135" i="13"/>
  <c r="P137" i="13"/>
  <c r="P138" i="13"/>
  <c r="P139" i="13"/>
  <c r="P140" i="13"/>
  <c r="P141" i="13"/>
  <c r="P142" i="13"/>
  <c r="P143" i="13"/>
  <c r="P144" i="13"/>
  <c r="P145" i="13"/>
  <c r="P147" i="13"/>
  <c r="P221" i="13"/>
  <c r="P222" i="13"/>
  <c r="P223" i="13"/>
  <c r="P224" i="13"/>
  <c r="P225" i="13"/>
  <c r="P226" i="13"/>
  <c r="P69" i="13"/>
  <c r="P70" i="13"/>
  <c r="P170" i="13"/>
  <c r="P171" i="13"/>
  <c r="P172" i="13"/>
  <c r="P173" i="13"/>
  <c r="P174" i="13"/>
  <c r="P161" i="13"/>
  <c r="P162" i="13"/>
  <c r="P165" i="13"/>
  <c r="P164" i="13"/>
  <c r="P166" i="13"/>
  <c r="P168" i="13"/>
  <c r="P169" i="13"/>
  <c r="P156" i="13"/>
  <c r="P157" i="13"/>
  <c r="P158" i="13"/>
  <c r="P159" i="13"/>
  <c r="P160" i="13"/>
  <c r="P214" i="13"/>
  <c r="P215" i="13"/>
  <c r="P216" i="13"/>
  <c r="P211" i="13"/>
  <c r="P212" i="13"/>
  <c r="P213" i="13"/>
  <c r="M176" i="13"/>
  <c r="M177" i="13"/>
  <c r="M178" i="13"/>
  <c r="M179" i="13"/>
  <c r="M180" i="13"/>
  <c r="M181" i="13"/>
  <c r="M182" i="13"/>
  <c r="M183" i="13"/>
  <c r="M184" i="13"/>
  <c r="M185" i="13"/>
  <c r="M186" i="13"/>
  <c r="M187" i="13"/>
  <c r="M191" i="13"/>
  <c r="M193" i="13"/>
  <c r="M194" i="13"/>
  <c r="M195" i="13"/>
  <c r="M196" i="13"/>
  <c r="M197" i="13"/>
  <c r="M198" i="13"/>
  <c r="M199" i="13"/>
  <c r="M200" i="13"/>
  <c r="M203" i="13"/>
  <c r="M204" i="13"/>
  <c r="M205" i="13"/>
  <c r="M206" i="13"/>
  <c r="M207" i="13"/>
  <c r="M208" i="13"/>
  <c r="M209" i="13"/>
  <c r="M210" i="13"/>
  <c r="M3" i="13"/>
  <c r="M4" i="13"/>
  <c r="M5" i="13"/>
  <c r="M6" i="13"/>
  <c r="M7" i="13"/>
  <c r="M8" i="13"/>
  <c r="M9" i="13"/>
  <c r="M10" i="13"/>
  <c r="M11" i="13"/>
  <c r="M12" i="13"/>
  <c r="M13" i="13"/>
  <c r="M14" i="13"/>
  <c r="M15" i="13"/>
  <c r="M16" i="13"/>
  <c r="M17" i="13"/>
  <c r="M18" i="13"/>
  <c r="M19" i="13"/>
  <c r="M20" i="13"/>
  <c r="M21" i="13"/>
  <c r="M22" i="13"/>
  <c r="M23" i="13"/>
  <c r="M24" i="13"/>
  <c r="M25" i="13"/>
  <c r="M26" i="13"/>
  <c r="M167" i="13"/>
  <c r="M163" i="13"/>
  <c r="M27" i="13"/>
  <c r="M28" i="13"/>
  <c r="M29" i="13"/>
  <c r="M30" i="13"/>
  <c r="M31" i="13"/>
  <c r="M32" i="13"/>
  <c r="M34" i="13"/>
  <c r="M35" i="13"/>
  <c r="M36" i="13"/>
  <c r="M37" i="13"/>
  <c r="M38" i="13"/>
  <c r="M39" i="13"/>
  <c r="M40" i="13"/>
  <c r="M41" i="13"/>
  <c r="M42" i="13"/>
  <c r="M43" i="13"/>
  <c r="M44" i="13"/>
  <c r="M45" i="13"/>
  <c r="M46" i="13"/>
  <c r="M47" i="13"/>
  <c r="M48" i="13"/>
  <c r="M52" i="13"/>
  <c r="M53" i="13"/>
  <c r="M54" i="13"/>
  <c r="M55" i="13"/>
  <c r="M56" i="13"/>
  <c r="M57" i="13"/>
  <c r="M58" i="13"/>
  <c r="M59" i="13"/>
  <c r="M60" i="13"/>
  <c r="M61" i="13"/>
  <c r="M62" i="13"/>
  <c r="M63" i="13"/>
  <c r="M64" i="13"/>
  <c r="M65" i="13"/>
  <c r="M66" i="13"/>
  <c r="M67" i="13"/>
  <c r="M68" i="13"/>
  <c r="M50" i="13"/>
  <c r="M49" i="13"/>
  <c r="M51" i="13"/>
  <c r="M72" i="13"/>
  <c r="M73" i="13"/>
  <c r="M75" i="13"/>
  <c r="M76" i="13"/>
  <c r="M77" i="13"/>
  <c r="M79" i="13"/>
  <c r="M80" i="13"/>
  <c r="M81" i="13"/>
  <c r="M83" i="13"/>
  <c r="M84" i="13"/>
  <c r="M87" i="13"/>
  <c r="M88" i="13"/>
  <c r="M91" i="13"/>
  <c r="M92" i="13"/>
  <c r="M93" i="13"/>
  <c r="M96" i="13"/>
  <c r="M97" i="13"/>
  <c r="M103" i="13"/>
  <c r="M104" i="13"/>
  <c r="M105" i="13"/>
  <c r="M106" i="13"/>
  <c r="M108" i="13"/>
  <c r="M109" i="13"/>
  <c r="M111" i="13"/>
  <c r="M112" i="13"/>
  <c r="M114" i="13"/>
  <c r="M115" i="13"/>
  <c r="M116" i="13"/>
  <c r="M118" i="13"/>
  <c r="M119" i="13"/>
  <c r="M120" i="13"/>
  <c r="M126" i="13"/>
  <c r="M127" i="13"/>
  <c r="M128" i="13"/>
  <c r="M133" i="13"/>
  <c r="M129" i="13"/>
  <c r="M130" i="13"/>
  <c r="M131" i="13"/>
  <c r="M132" i="13"/>
  <c r="M134" i="13"/>
  <c r="M135" i="13"/>
  <c r="M137" i="13"/>
  <c r="M138" i="13"/>
  <c r="M139" i="13"/>
  <c r="M140" i="13"/>
  <c r="M141" i="13"/>
  <c r="M142" i="13"/>
  <c r="M143" i="13"/>
  <c r="M144" i="13"/>
  <c r="M145" i="13"/>
  <c r="M147" i="13"/>
  <c r="M221" i="13"/>
  <c r="M222" i="13"/>
  <c r="M223" i="13"/>
  <c r="M224" i="13"/>
  <c r="M225" i="13"/>
  <c r="M226" i="13"/>
  <c r="M69" i="13"/>
  <c r="M70" i="13"/>
  <c r="M161" i="13"/>
  <c r="M162" i="13"/>
  <c r="M165" i="13"/>
  <c r="M164" i="13"/>
  <c r="M166" i="13"/>
  <c r="M156" i="13"/>
  <c r="M157" i="13"/>
  <c r="M158" i="13"/>
  <c r="M159" i="13"/>
  <c r="M160" i="13"/>
  <c r="M214" i="13"/>
  <c r="M215" i="13"/>
  <c r="M216" i="13"/>
  <c r="M211" i="13"/>
  <c r="M212" i="13"/>
  <c r="M213" i="13"/>
  <c r="M175" i="13"/>
  <c r="J170" i="13"/>
  <c r="J171" i="13"/>
  <c r="J172" i="13"/>
  <c r="J173" i="13"/>
  <c r="J174" i="13"/>
  <c r="P4" i="37"/>
  <c r="P5" i="37"/>
  <c r="P6" i="37"/>
  <c r="P7" i="37"/>
  <c r="P8" i="37"/>
  <c r="P9" i="37"/>
  <c r="P10" i="37"/>
  <c r="P11" i="37"/>
  <c r="P12" i="37"/>
  <c r="P13" i="37"/>
  <c r="P14" i="37"/>
  <c r="P15" i="37"/>
  <c r="P16" i="37"/>
  <c r="P17" i="37"/>
  <c r="P3" i="37"/>
  <c r="M4" i="37"/>
  <c r="M5" i="37"/>
  <c r="M6" i="37"/>
  <c r="M7" i="37"/>
  <c r="M8" i="37"/>
  <c r="M9" i="37"/>
  <c r="M10" i="37"/>
  <c r="M11" i="37"/>
  <c r="M12" i="37"/>
  <c r="M13" i="37"/>
  <c r="M14" i="37"/>
  <c r="M15" i="37"/>
  <c r="M16" i="37"/>
  <c r="M17" i="37"/>
  <c r="P4" i="35"/>
  <c r="P5" i="35"/>
  <c r="P6" i="35"/>
  <c r="P7" i="35"/>
  <c r="P8" i="35"/>
  <c r="P9" i="35"/>
  <c r="P10" i="35"/>
  <c r="P11" i="35"/>
  <c r="P12" i="35"/>
  <c r="P13" i="35"/>
  <c r="P14" i="35"/>
  <c r="P15" i="35"/>
  <c r="P16" i="35"/>
  <c r="P17" i="35"/>
  <c r="P18" i="35"/>
  <c r="P19" i="35"/>
  <c r="P20" i="35"/>
  <c r="P21" i="35"/>
  <c r="P22" i="35"/>
  <c r="P23" i="35"/>
  <c r="P24" i="35"/>
  <c r="P25" i="35"/>
  <c r="P26" i="35"/>
  <c r="P27" i="35"/>
  <c r="P28" i="35"/>
  <c r="P29" i="35"/>
  <c r="P30" i="35"/>
  <c r="P31" i="35"/>
  <c r="P32" i="35"/>
  <c r="P33" i="35"/>
  <c r="P34" i="35"/>
  <c r="P35" i="35"/>
  <c r="P36" i="35"/>
  <c r="P37" i="35"/>
  <c r="P38" i="35"/>
  <c r="P39" i="35"/>
  <c r="P40" i="35"/>
  <c r="P41" i="35"/>
  <c r="P42" i="35"/>
  <c r="P43" i="35"/>
  <c r="P44" i="35"/>
  <c r="P45" i="35"/>
  <c r="P46" i="35"/>
  <c r="P47" i="35"/>
  <c r="P48" i="35"/>
  <c r="P49" i="35"/>
  <c r="P50" i="35"/>
  <c r="P51" i="35"/>
  <c r="P52" i="35"/>
  <c r="P53" i="35"/>
  <c r="P54" i="35"/>
  <c r="P55" i="35"/>
  <c r="P56" i="35"/>
  <c r="P57" i="35"/>
  <c r="P58" i="35"/>
  <c r="P59" i="35"/>
  <c r="P60" i="35"/>
  <c r="P61" i="35"/>
  <c r="P62" i="35"/>
  <c r="P63" i="35"/>
  <c r="P64" i="35"/>
  <c r="P65" i="35"/>
  <c r="P66" i="35"/>
  <c r="P67" i="35"/>
  <c r="P68" i="35"/>
  <c r="P69" i="35"/>
  <c r="P70" i="35"/>
  <c r="P71" i="35"/>
  <c r="P72" i="35"/>
  <c r="P73" i="35"/>
  <c r="P3" i="35"/>
  <c r="M4" i="35"/>
  <c r="M5" i="35"/>
  <c r="M6" i="35"/>
  <c r="M7" i="35"/>
  <c r="M8" i="35"/>
  <c r="M9" i="35"/>
  <c r="M10" i="35"/>
  <c r="M11" i="35"/>
  <c r="M12" i="35"/>
  <c r="M14" i="35"/>
  <c r="M15" i="35"/>
  <c r="M16" i="35"/>
  <c r="M17" i="35"/>
  <c r="M18" i="35"/>
  <c r="M19" i="35"/>
  <c r="M20" i="35"/>
  <c r="M21" i="35"/>
  <c r="M22" i="35"/>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3" i="35"/>
  <c r="M54" i="35"/>
  <c r="M55" i="35"/>
  <c r="M56" i="35"/>
  <c r="M57" i="35"/>
  <c r="M59" i="35"/>
  <c r="M60" i="35"/>
  <c r="M63" i="35"/>
  <c r="M64" i="35"/>
  <c r="M66" i="35"/>
  <c r="M67" i="35"/>
  <c r="M68" i="35"/>
  <c r="M72" i="35"/>
  <c r="M73" i="35"/>
  <c r="J25" i="35"/>
  <c r="J69" i="35"/>
  <c r="J70" i="35"/>
  <c r="J71" i="35"/>
  <c r="P4" i="48"/>
  <c r="P5" i="48"/>
  <c r="P6" i="48"/>
  <c r="P7" i="48"/>
  <c r="P8" i="48"/>
  <c r="P9" i="48"/>
  <c r="P10" i="48"/>
  <c r="P11" i="48"/>
  <c r="P12" i="48"/>
  <c r="P13" i="48"/>
  <c r="P14" i="48"/>
  <c r="P15" i="48"/>
  <c r="P16" i="48"/>
  <c r="P17" i="48"/>
  <c r="P18" i="48"/>
  <c r="P22" i="48"/>
  <c r="P23" i="48"/>
  <c r="P24" i="48"/>
  <c r="P25" i="48"/>
  <c r="P26" i="48"/>
  <c r="P27" i="48"/>
  <c r="P28" i="48"/>
  <c r="P29" i="48"/>
  <c r="P30" i="48"/>
  <c r="P31" i="48"/>
  <c r="P32" i="48"/>
  <c r="P33" i="48"/>
  <c r="P34" i="48"/>
  <c r="P35" i="48"/>
  <c r="P36" i="48"/>
  <c r="P37" i="48"/>
  <c r="P38" i="48"/>
  <c r="P39" i="48"/>
  <c r="P40" i="48"/>
  <c r="P43" i="48"/>
  <c r="P44" i="48"/>
  <c r="P45" i="48"/>
  <c r="P46" i="48"/>
  <c r="P47" i="48"/>
  <c r="P48" i="48"/>
  <c r="P49" i="48"/>
  <c r="P50" i="48"/>
  <c r="P51" i="48"/>
  <c r="P52" i="48"/>
  <c r="P53" i="48"/>
  <c r="P54" i="48"/>
  <c r="P55" i="48"/>
  <c r="P56" i="48"/>
  <c r="P57" i="48"/>
  <c r="P58" i="48"/>
  <c r="P59" i="48"/>
  <c r="P60" i="48"/>
  <c r="P61" i="48"/>
  <c r="P62" i="48"/>
  <c r="P63" i="48"/>
  <c r="P64" i="48"/>
  <c r="P65" i="48"/>
  <c r="P66" i="48"/>
  <c r="P67" i="48"/>
  <c r="P68" i="48"/>
  <c r="P69" i="48"/>
  <c r="P70" i="48"/>
  <c r="P71" i="48"/>
  <c r="P72" i="48"/>
  <c r="P73" i="48"/>
  <c r="P74" i="48"/>
  <c r="P3" i="48"/>
  <c r="M4" i="48"/>
  <c r="M5" i="48"/>
  <c r="M6" i="48"/>
  <c r="M7" i="48"/>
  <c r="M9" i="48"/>
  <c r="M10" i="48"/>
  <c r="M11" i="48"/>
  <c r="M12" i="48"/>
  <c r="M13" i="48"/>
  <c r="M15" i="48"/>
  <c r="M16" i="48"/>
  <c r="M17" i="48"/>
  <c r="M18" i="48"/>
  <c r="M65" i="48"/>
  <c r="M66" i="48"/>
  <c r="M67" i="48"/>
  <c r="M68" i="48"/>
  <c r="M69" i="48"/>
  <c r="M70" i="48"/>
  <c r="M71" i="48"/>
  <c r="M72" i="48"/>
  <c r="M73" i="48"/>
  <c r="M74" i="48"/>
  <c r="J25" i="48"/>
  <c r="J26" i="48"/>
  <c r="J27" i="48"/>
  <c r="J28" i="48"/>
  <c r="J29" i="48"/>
  <c r="J30" i="48"/>
  <c r="J31" i="48"/>
  <c r="J32" i="48"/>
  <c r="J36" i="48"/>
  <c r="J37" i="48"/>
  <c r="J38" i="48"/>
  <c r="J39" i="48"/>
  <c r="J40" i="48"/>
  <c r="J43" i="48"/>
  <c r="J44" i="48"/>
  <c r="J45" i="48"/>
  <c r="J46" i="48"/>
  <c r="J47" i="48"/>
  <c r="J48" i="48"/>
  <c r="J49" i="48"/>
  <c r="J50" i="48"/>
  <c r="J51" i="48"/>
  <c r="J52" i="48"/>
  <c r="J53" i="48"/>
  <c r="J54" i="48"/>
  <c r="J55" i="48"/>
  <c r="J56" i="48"/>
  <c r="J57" i="48"/>
  <c r="J58" i="48"/>
  <c r="J59" i="48"/>
  <c r="J60" i="48"/>
  <c r="J61" i="48"/>
  <c r="J62" i="48"/>
  <c r="J63" i="48"/>
  <c r="J64" i="48"/>
  <c r="P4" i="33"/>
  <c r="P5" i="33"/>
  <c r="P6" i="33"/>
  <c r="P7" i="33"/>
  <c r="P8" i="33"/>
  <c r="P9" i="33"/>
  <c r="P10" i="33"/>
  <c r="P11" i="33"/>
  <c r="P13" i="33"/>
  <c r="P14" i="33"/>
  <c r="P15" i="33"/>
  <c r="P16" i="33"/>
  <c r="P17" i="33"/>
  <c r="P18" i="33"/>
  <c r="P19" i="33"/>
  <c r="P20" i="33"/>
  <c r="P21" i="33"/>
  <c r="P22" i="33"/>
  <c r="P23" i="33"/>
  <c r="P24" i="33"/>
  <c r="P25" i="33"/>
  <c r="P26" i="33"/>
  <c r="P27" i="33"/>
  <c r="P28" i="33"/>
  <c r="P29" i="33"/>
  <c r="P30" i="33"/>
  <c r="P31" i="33"/>
  <c r="P32" i="33"/>
  <c r="P33" i="33"/>
  <c r="P34" i="33"/>
  <c r="P35" i="33"/>
  <c r="P36" i="33"/>
  <c r="P37" i="33"/>
  <c r="P38" i="33"/>
  <c r="P39" i="33"/>
  <c r="P40" i="33"/>
  <c r="P41" i="33"/>
  <c r="P42" i="33"/>
  <c r="P43" i="33"/>
  <c r="P44" i="33"/>
  <c r="P45" i="33"/>
  <c r="P46" i="33"/>
  <c r="P47" i="33"/>
  <c r="P48" i="33"/>
  <c r="P49" i="33"/>
  <c r="P50" i="33"/>
  <c r="P51" i="33"/>
  <c r="P52" i="33"/>
  <c r="P53" i="33"/>
  <c r="P54" i="33"/>
  <c r="P55" i="33"/>
  <c r="P56" i="33"/>
  <c r="P58" i="33"/>
  <c r="P59" i="33"/>
  <c r="P60" i="33"/>
  <c r="P61" i="33"/>
  <c r="P62" i="33"/>
  <c r="P63" i="33"/>
  <c r="P64" i="33"/>
  <c r="P66" i="33"/>
  <c r="P67" i="33"/>
  <c r="P68" i="33"/>
  <c r="P69" i="33"/>
  <c r="P70" i="33"/>
  <c r="P71" i="33"/>
  <c r="P72" i="33"/>
  <c r="P74" i="33"/>
  <c r="P75" i="33"/>
  <c r="P76" i="33"/>
  <c r="P77" i="33"/>
  <c r="P78" i="33"/>
  <c r="P79" i="33"/>
  <c r="P81" i="33"/>
  <c r="P82" i="33"/>
  <c r="P83" i="33"/>
  <c r="P84" i="33"/>
  <c r="P85" i="33"/>
  <c r="P86" i="33"/>
  <c r="P87" i="33"/>
  <c r="P89" i="33"/>
  <c r="P90" i="33"/>
  <c r="P91" i="33"/>
  <c r="P92" i="33"/>
  <c r="P93" i="33"/>
  <c r="P94" i="33"/>
  <c r="P95" i="33"/>
  <c r="P97" i="33"/>
  <c r="P98" i="33"/>
  <c r="P99" i="33"/>
  <c r="P100" i="33"/>
  <c r="P101" i="33"/>
  <c r="P102" i="33"/>
  <c r="P103" i="33"/>
  <c r="P105" i="33"/>
  <c r="P106" i="33"/>
  <c r="P107" i="33"/>
  <c r="P108" i="33"/>
  <c r="P109" i="33"/>
  <c r="P110" i="33"/>
  <c r="P111" i="33"/>
  <c r="P113" i="33"/>
  <c r="P114" i="33"/>
  <c r="P115" i="33"/>
  <c r="P116" i="33"/>
  <c r="P117" i="33"/>
  <c r="P118" i="33"/>
  <c r="P120" i="33"/>
  <c r="P121" i="33"/>
  <c r="P122" i="33"/>
  <c r="P123" i="33"/>
  <c r="P124" i="33"/>
  <c r="P125" i="33"/>
  <c r="P127" i="33"/>
  <c r="P128" i="33"/>
  <c r="P129" i="33"/>
  <c r="P130" i="33"/>
  <c r="P131" i="33"/>
  <c r="P132" i="33"/>
  <c r="P134" i="33"/>
  <c r="P135" i="33"/>
  <c r="P136" i="33"/>
  <c r="P137" i="33"/>
  <c r="P138" i="33"/>
  <c r="P139" i="33"/>
  <c r="P141" i="33"/>
  <c r="P142" i="33"/>
  <c r="P143" i="33"/>
  <c r="P144" i="33"/>
  <c r="P145" i="33"/>
  <c r="P146" i="33"/>
  <c r="P147" i="33"/>
  <c r="P149" i="33"/>
  <c r="P150" i="33"/>
  <c r="P151" i="33"/>
  <c r="P152" i="33"/>
  <c r="P153" i="33"/>
  <c r="P155" i="33"/>
  <c r="P156" i="33"/>
  <c r="P157" i="33"/>
  <c r="P158" i="33"/>
  <c r="P159" i="33"/>
  <c r="P162" i="33"/>
  <c r="P163" i="33"/>
  <c r="P164" i="33"/>
  <c r="P165" i="33"/>
  <c r="P166" i="33"/>
  <c r="P167" i="33"/>
  <c r="P169" i="33"/>
  <c r="P170" i="33"/>
  <c r="P171" i="33"/>
  <c r="P172" i="33"/>
  <c r="P173" i="33"/>
  <c r="P174" i="33"/>
  <c r="P175" i="33"/>
  <c r="P176" i="33"/>
  <c r="P177" i="33"/>
  <c r="P178" i="33"/>
  <c r="P179" i="33"/>
  <c r="P180" i="33"/>
  <c r="P182" i="33"/>
  <c r="P183" i="33"/>
  <c r="P184" i="33"/>
  <c r="P185" i="33"/>
  <c r="P186" i="33"/>
  <c r="P187" i="33"/>
  <c r="P189" i="33"/>
  <c r="P190" i="33"/>
  <c r="P191" i="33"/>
  <c r="P192" i="33"/>
  <c r="P193" i="33"/>
  <c r="P195" i="33"/>
  <c r="P196" i="33"/>
  <c r="P197" i="33"/>
  <c r="P198" i="33"/>
  <c r="P199" i="33"/>
  <c r="P200" i="33"/>
  <c r="P201" i="33"/>
  <c r="P203" i="33"/>
  <c r="P204" i="33"/>
  <c r="P205" i="33"/>
  <c r="P206" i="33"/>
  <c r="P207" i="33"/>
  <c r="P208" i="33"/>
  <c r="P209" i="33"/>
  <c r="P210" i="33"/>
  <c r="P211" i="33"/>
  <c r="P212" i="33"/>
  <c r="P213" i="33"/>
  <c r="P214" i="33"/>
  <c r="P215" i="33"/>
  <c r="P216" i="33"/>
  <c r="P3" i="33"/>
  <c r="M4" i="33"/>
  <c r="M5" i="33"/>
  <c r="M6" i="33"/>
  <c r="M7" i="33"/>
  <c r="M8" i="33"/>
  <c r="M9" i="33"/>
  <c r="M10" i="33"/>
  <c r="M11" i="33"/>
  <c r="M13" i="33"/>
  <c r="M14" i="33"/>
  <c r="M15" i="33"/>
  <c r="M16" i="33"/>
  <c r="M17" i="33"/>
  <c r="M18" i="33"/>
  <c r="M19" i="33"/>
  <c r="M20" i="33"/>
  <c r="M21" i="33"/>
  <c r="M22" i="33"/>
  <c r="M23" i="33"/>
  <c r="M24" i="33"/>
  <c r="M25" i="33"/>
  <c r="M26" i="33"/>
  <c r="M27" i="33"/>
  <c r="M28" i="33"/>
  <c r="M29" i="33"/>
  <c r="M30" i="33"/>
  <c r="M31" i="33"/>
  <c r="M32" i="33"/>
  <c r="M33" i="33"/>
  <c r="M34" i="33"/>
  <c r="M35" i="33"/>
  <c r="M36" i="33"/>
  <c r="M37" i="33"/>
  <c r="M38" i="33"/>
  <c r="M39" i="33"/>
  <c r="M40" i="33"/>
  <c r="M41" i="33"/>
  <c r="M42" i="33"/>
  <c r="M43" i="33"/>
  <c r="M44" i="33"/>
  <c r="M45" i="33"/>
  <c r="M46" i="33"/>
  <c r="M47" i="33"/>
  <c r="M48" i="33"/>
  <c r="M49" i="33"/>
  <c r="M50" i="33"/>
  <c r="M51" i="33"/>
  <c r="M52" i="33"/>
  <c r="M53" i="33"/>
  <c r="M54" i="33"/>
  <c r="M55" i="33"/>
  <c r="M56" i="33"/>
  <c r="M58" i="33"/>
  <c r="M59" i="33"/>
  <c r="M60" i="33"/>
  <c r="M61" i="33"/>
  <c r="M62" i="33"/>
  <c r="M63" i="33"/>
  <c r="M64" i="33"/>
  <c r="M66" i="33"/>
  <c r="M67" i="33"/>
  <c r="M68" i="33"/>
  <c r="M69" i="33"/>
  <c r="M70" i="33"/>
  <c r="M71" i="33"/>
  <c r="M72" i="33"/>
  <c r="M74" i="33"/>
  <c r="M75" i="33"/>
  <c r="M76" i="33"/>
  <c r="M77" i="33"/>
  <c r="M78" i="33"/>
  <c r="M79" i="33"/>
  <c r="M81" i="33"/>
  <c r="M82" i="33"/>
  <c r="M83" i="33"/>
  <c r="M84" i="33"/>
  <c r="M85" i="33"/>
  <c r="M86" i="33"/>
  <c r="M87" i="33"/>
  <c r="M89" i="33"/>
  <c r="M90" i="33"/>
  <c r="M91" i="33"/>
  <c r="M92" i="33"/>
  <c r="M93" i="33"/>
  <c r="M94" i="33"/>
  <c r="M95" i="33"/>
  <c r="M97" i="33"/>
  <c r="M98" i="33"/>
  <c r="M99" i="33"/>
  <c r="M100" i="33"/>
  <c r="M101" i="33"/>
  <c r="M102" i="33"/>
  <c r="M103" i="33"/>
  <c r="M105" i="33"/>
  <c r="M106" i="33"/>
  <c r="M107" i="33"/>
  <c r="M108" i="33"/>
  <c r="M109" i="33"/>
  <c r="M110" i="33"/>
  <c r="M111" i="33"/>
  <c r="M113" i="33"/>
  <c r="M114" i="33"/>
  <c r="M115" i="33"/>
  <c r="M116" i="33"/>
  <c r="M117" i="33"/>
  <c r="M118" i="33"/>
  <c r="M120" i="33"/>
  <c r="M121" i="33"/>
  <c r="M122" i="33"/>
  <c r="M123" i="33"/>
  <c r="M124" i="33"/>
  <c r="M125" i="33"/>
  <c r="M127" i="33"/>
  <c r="M128" i="33"/>
  <c r="M129" i="33"/>
  <c r="M130" i="33"/>
  <c r="M131" i="33"/>
  <c r="M132" i="33"/>
  <c r="M134" i="33"/>
  <c r="M135" i="33"/>
  <c r="M136" i="33"/>
  <c r="M137" i="33"/>
  <c r="M138" i="33"/>
  <c r="M139" i="33"/>
  <c r="M141" i="33"/>
  <c r="M142" i="33"/>
  <c r="M143" i="33"/>
  <c r="M144" i="33"/>
  <c r="M145" i="33"/>
  <c r="M146" i="33"/>
  <c r="M147" i="33"/>
  <c r="M149" i="33"/>
  <c r="M150" i="33"/>
  <c r="M151" i="33"/>
  <c r="M152" i="33"/>
  <c r="M153" i="33"/>
  <c r="M155" i="33"/>
  <c r="M156" i="33"/>
  <c r="M157" i="33"/>
  <c r="M158" i="33"/>
  <c r="M159" i="33"/>
  <c r="M162" i="33"/>
  <c r="M163" i="33"/>
  <c r="M164" i="33"/>
  <c r="M165" i="33"/>
  <c r="M166" i="33"/>
  <c r="M167" i="33"/>
  <c r="M169" i="33"/>
  <c r="M170" i="33"/>
  <c r="M171" i="33"/>
  <c r="M172" i="33"/>
  <c r="M173" i="33"/>
  <c r="M174" i="33"/>
  <c r="M176" i="33"/>
  <c r="M177" i="33"/>
  <c r="M178" i="33"/>
  <c r="M179" i="33"/>
  <c r="M180" i="33"/>
  <c r="M182" i="33"/>
  <c r="M183" i="33"/>
  <c r="M184" i="33"/>
  <c r="M185" i="33"/>
  <c r="M186" i="33"/>
  <c r="M187" i="33"/>
  <c r="M189" i="33"/>
  <c r="M190" i="33"/>
  <c r="M191" i="33"/>
  <c r="M192" i="33"/>
  <c r="M193" i="33"/>
  <c r="M195" i="33"/>
  <c r="M196" i="33"/>
  <c r="M197" i="33"/>
  <c r="M198" i="33"/>
  <c r="M199" i="33"/>
  <c r="M200" i="33"/>
  <c r="M201" i="33"/>
  <c r="M203" i="33"/>
  <c r="M204" i="33"/>
  <c r="M205" i="33"/>
  <c r="M206" i="33"/>
  <c r="M207" i="33"/>
  <c r="M208" i="33"/>
  <c r="M209" i="33"/>
  <c r="M210" i="33"/>
  <c r="M211" i="33"/>
  <c r="M212" i="33"/>
  <c r="M213" i="33"/>
  <c r="M214" i="33"/>
  <c r="M215" i="33"/>
  <c r="M216" i="33"/>
  <c r="M3" i="33"/>
  <c r="P3" i="49"/>
  <c r="M3" i="49"/>
  <c r="K82" i="49" l="1"/>
  <c r="O41" i="24"/>
  <c r="O42" i="24"/>
  <c r="K94" i="51" l="1"/>
  <c r="K89" i="51"/>
  <c r="K88" i="51"/>
  <c r="K79" i="51"/>
  <c r="K78" i="51"/>
  <c r="K77" i="51"/>
  <c r="K76" i="51"/>
  <c r="K75" i="51"/>
  <c r="K74" i="51"/>
  <c r="K73" i="51"/>
  <c r="K45" i="51"/>
  <c r="K44" i="51"/>
  <c r="K43" i="51"/>
  <c r="H42" i="51"/>
  <c r="K41" i="51"/>
  <c r="K40" i="51"/>
  <c r="K91" i="51" l="1"/>
  <c r="N80" i="51"/>
  <c r="K64" i="51"/>
  <c r="N81" i="51"/>
  <c r="K92" i="51"/>
  <c r="K65" i="51"/>
  <c r="K42" i="51"/>
  <c r="N48" i="51"/>
  <c r="N65" i="51"/>
  <c r="N58" i="51"/>
  <c r="K80" i="51"/>
  <c r="K51" i="51"/>
  <c r="K52" i="51"/>
  <c r="N92" i="51"/>
  <c r="K47" i="51"/>
  <c r="K48" i="51"/>
  <c r="K57" i="51"/>
  <c r="K58" i="51"/>
  <c r="N52" i="51"/>
  <c r="H26" i="49" l="1"/>
  <c r="H27" i="49"/>
  <c r="H25" i="49"/>
  <c r="H23" i="49"/>
  <c r="H22" i="49"/>
  <c r="H20" i="49"/>
  <c r="H19" i="49"/>
  <c r="H18" i="49"/>
  <c r="H17" i="49"/>
  <c r="H16" i="49"/>
  <c r="H13" i="49"/>
  <c r="H14" i="49"/>
  <c r="H11" i="49"/>
  <c r="H10" i="49"/>
  <c r="H4" i="49"/>
  <c r="H8" i="49"/>
  <c r="H5" i="49"/>
  <c r="K110" i="49" l="1"/>
  <c r="H110" i="49"/>
  <c r="K109" i="49"/>
  <c r="H109" i="49"/>
  <c r="K98" i="49"/>
  <c r="H24" i="49"/>
  <c r="K58" i="49" l="1"/>
  <c r="H22" i="48" l="1"/>
  <c r="H23" i="48"/>
  <c r="K23" i="48"/>
  <c r="H24" i="48"/>
  <c r="H33" i="48"/>
  <c r="H34" i="48"/>
  <c r="K34" i="48"/>
  <c r="H35" i="48"/>
  <c r="K35" i="48"/>
  <c r="K70" i="35" l="1"/>
  <c r="K69" i="35"/>
  <c r="H35" i="36" l="1"/>
  <c r="H205" i="33" l="1"/>
  <c r="H197" i="33"/>
  <c r="H184" i="33"/>
  <c r="H171" i="33"/>
  <c r="H166" i="33"/>
  <c r="H164" i="33"/>
  <c r="H151" i="33"/>
  <c r="H143" i="33"/>
  <c r="H122" i="33"/>
  <c r="H136" i="33"/>
  <c r="H115" i="33"/>
  <c r="H109" i="33"/>
  <c r="H107" i="33"/>
  <c r="H99" i="33"/>
  <c r="H91" i="33"/>
  <c r="H83" i="33"/>
  <c r="H78" i="33"/>
  <c r="H76" i="33"/>
  <c r="H70" i="33"/>
  <c r="H68" i="33"/>
  <c r="O10" i="24" l="1"/>
  <c r="O11" i="24"/>
  <c r="O12" i="24"/>
  <c r="O13" i="24"/>
  <c r="O14" i="24"/>
  <c r="O15" i="24"/>
  <c r="O16" i="24"/>
  <c r="O17" i="24"/>
  <c r="O18" i="24"/>
  <c r="O19" i="24"/>
  <c r="O20" i="24"/>
  <c r="O21" i="24"/>
  <c r="O22" i="24"/>
  <c r="O23" i="24"/>
  <c r="O24" i="24"/>
  <c r="O25" i="24"/>
  <c r="O26" i="24"/>
  <c r="O27" i="24"/>
  <c r="O28" i="24"/>
  <c r="O29" i="24"/>
  <c r="O30" i="24"/>
  <c r="O31" i="24"/>
  <c r="O32" i="24"/>
  <c r="O33" i="24"/>
  <c r="O34" i="24"/>
  <c r="O35" i="24"/>
  <c r="O36" i="24"/>
  <c r="O37" i="24"/>
  <c r="O38" i="24"/>
  <c r="O39" i="24"/>
  <c r="O40" i="24"/>
  <c r="H191" i="13" l="1"/>
  <c r="P11" i="24" l="1"/>
  <c r="R10" i="24" s="1"/>
  <c r="P12" i="24" l="1"/>
  <c r="R11" i="24" s="1"/>
  <c r="P13" i="24" l="1"/>
  <c r="R12" i="24" s="1"/>
  <c r="P14" i="24" l="1"/>
  <c r="R13" i="24" s="1"/>
  <c r="P15" i="24" l="1"/>
  <c r="R14" i="24" s="1"/>
  <c r="P16" i="24" l="1"/>
  <c r="R15" i="24" s="1"/>
  <c r="P17" i="24" l="1"/>
  <c r="R16" i="24" s="1"/>
  <c r="P18" i="24" l="1"/>
  <c r="R17" i="24" s="1"/>
  <c r="P19" i="24" l="1"/>
  <c r="R18" i="24" s="1"/>
  <c r="P20" i="24" l="1"/>
  <c r="P21" i="24" l="1"/>
  <c r="R20" i="24" s="1"/>
  <c r="P22" i="24" l="1"/>
  <c r="R21" i="24" s="1"/>
  <c r="P23" i="24" l="1"/>
  <c r="R22" i="24" s="1"/>
  <c r="P24" i="24" l="1"/>
  <c r="R23" i="24" s="1"/>
  <c r="P25" i="24" l="1"/>
  <c r="R24" i="24" s="1"/>
  <c r="P26" i="24" l="1"/>
  <c r="R25" i="24" s="1"/>
  <c r="P27" i="24" l="1"/>
  <c r="R26" i="24" s="1"/>
  <c r="P28" i="24" l="1"/>
  <c r="R27" i="24" s="1"/>
  <c r="P29" i="24" l="1"/>
  <c r="R28" i="24" s="1"/>
  <c r="P30" i="24" l="1"/>
  <c r="R29" i="24" s="1"/>
  <c r="P31" i="24" l="1"/>
  <c r="R30" i="24" s="1"/>
  <c r="P32" i="24" l="1"/>
  <c r="R31" i="24" s="1"/>
  <c r="P33" i="24" l="1"/>
  <c r="R32" i="24" s="1"/>
  <c r="P34" i="24" l="1"/>
  <c r="R33" i="24" s="1"/>
  <c r="P35" i="24" l="1"/>
  <c r="R34" i="24" s="1"/>
  <c r="P36" i="24" l="1"/>
  <c r="R35" i="24" l="1"/>
  <c r="P37" i="24"/>
  <c r="R36" i="24" l="1"/>
  <c r="P38" i="24"/>
  <c r="M59" i="36" l="1"/>
  <c r="M58" i="36"/>
  <c r="M46" i="36"/>
  <c r="M110" i="51"/>
  <c r="M102" i="51"/>
  <c r="M116" i="51"/>
  <c r="M108" i="51"/>
  <c r="M100" i="51"/>
  <c r="M38" i="51"/>
  <c r="M112" i="51"/>
  <c r="M115" i="51"/>
  <c r="M107" i="51"/>
  <c r="M99" i="51"/>
  <c r="M97" i="51"/>
  <c r="M105" i="51"/>
  <c r="M104" i="51"/>
  <c r="M103" i="51"/>
  <c r="M101" i="51"/>
  <c r="M114" i="51"/>
  <c r="M106" i="51"/>
  <c r="M39" i="51"/>
  <c r="M109" i="51"/>
  <c r="M98" i="51"/>
  <c r="M113" i="51"/>
  <c r="M111" i="51"/>
  <c r="J146" i="13"/>
  <c r="P24" i="51"/>
  <c r="J40" i="51"/>
  <c r="P28" i="51"/>
  <c r="J17" i="13"/>
  <c r="M21" i="48"/>
  <c r="M19" i="48"/>
  <c r="M20" i="48"/>
  <c r="M50" i="36"/>
  <c r="M69" i="36"/>
  <c r="M51" i="36"/>
  <c r="M70" i="36"/>
  <c r="M57" i="36"/>
  <c r="M52" i="36"/>
  <c r="M71" i="36"/>
  <c r="M53" i="36"/>
  <c r="M72" i="36"/>
  <c r="M49" i="36"/>
  <c r="M45" i="36"/>
  <c r="M54" i="36"/>
  <c r="M47" i="36"/>
  <c r="M55" i="36"/>
  <c r="M68" i="36"/>
  <c r="M48" i="36"/>
  <c r="M56" i="36"/>
  <c r="M67" i="36"/>
  <c r="R37" i="24"/>
  <c r="P39" i="24"/>
  <c r="P13" i="51" s="1"/>
  <c r="M15" i="51" l="1"/>
  <c r="P12" i="51"/>
  <c r="M61" i="36"/>
  <c r="M4" i="51"/>
  <c r="P19" i="51"/>
  <c r="P20" i="51"/>
  <c r="M29" i="51"/>
  <c r="M6" i="51"/>
  <c r="M62" i="36"/>
  <c r="M16" i="51"/>
  <c r="M17" i="51"/>
  <c r="M25" i="51"/>
  <c r="M66" i="36"/>
  <c r="M64" i="36"/>
  <c r="M8" i="51"/>
  <c r="P21" i="51"/>
  <c r="M22" i="51"/>
  <c r="M3" i="51"/>
  <c r="M63" i="36"/>
  <c r="M5" i="51"/>
  <c r="M14" i="51"/>
  <c r="P27" i="51"/>
  <c r="J36" i="36"/>
  <c r="M65" i="36"/>
  <c r="M7" i="51"/>
  <c r="P10" i="51"/>
  <c r="P23" i="51"/>
  <c r="P11" i="51"/>
  <c r="M60" i="36"/>
  <c r="M9" i="51"/>
  <c r="M26" i="51"/>
  <c r="P18" i="51"/>
  <c r="P136" i="13"/>
  <c r="M136" i="13"/>
  <c r="J136" i="13"/>
  <c r="P32" i="51"/>
  <c r="P36" i="51"/>
  <c r="M50" i="51"/>
  <c r="M56" i="51"/>
  <c r="M62" i="51"/>
  <c r="M68" i="51"/>
  <c r="M72" i="51"/>
  <c r="M85" i="51"/>
  <c r="J41" i="51"/>
  <c r="J45" i="51"/>
  <c r="M62" i="49"/>
  <c r="M66" i="49"/>
  <c r="M70" i="49"/>
  <c r="M74" i="49"/>
  <c r="M78" i="49"/>
  <c r="M120" i="49"/>
  <c r="J7" i="49"/>
  <c r="J11" i="49"/>
  <c r="J15" i="49"/>
  <c r="J19" i="49"/>
  <c r="J23" i="49"/>
  <c r="J27" i="49"/>
  <c r="J31" i="49"/>
  <c r="J35" i="49"/>
  <c r="J39" i="49"/>
  <c r="J43" i="49"/>
  <c r="J47" i="49"/>
  <c r="J51" i="49"/>
  <c r="J55" i="49"/>
  <c r="J61" i="49"/>
  <c r="J88" i="49"/>
  <c r="J93" i="49"/>
  <c r="J97" i="49"/>
  <c r="J101" i="49"/>
  <c r="J105" i="49"/>
  <c r="J107" i="49"/>
  <c r="J65" i="49"/>
  <c r="J69" i="49"/>
  <c r="J73" i="49"/>
  <c r="J77" i="49"/>
  <c r="J81" i="49"/>
  <c r="J115" i="49"/>
  <c r="J119" i="49"/>
  <c r="J123" i="49"/>
  <c r="J6" i="36"/>
  <c r="J10" i="36"/>
  <c r="J14" i="36"/>
  <c r="J18" i="36"/>
  <c r="J22" i="36"/>
  <c r="J26" i="36"/>
  <c r="J35" i="36"/>
  <c r="J39" i="36"/>
  <c r="J43" i="36"/>
  <c r="J48" i="36"/>
  <c r="J57" i="36"/>
  <c r="J64" i="36"/>
  <c r="J68" i="36"/>
  <c r="J72" i="36"/>
  <c r="J30" i="36"/>
  <c r="J34" i="36"/>
  <c r="P188" i="13"/>
  <c r="P192" i="13"/>
  <c r="P231" i="13"/>
  <c r="M190" i="13"/>
  <c r="M33" i="13"/>
  <c r="J82" i="49"/>
  <c r="P33" i="51"/>
  <c r="P37" i="51"/>
  <c r="P93" i="51"/>
  <c r="M53" i="51"/>
  <c r="M59" i="51"/>
  <c r="M63" i="51"/>
  <c r="M69" i="51"/>
  <c r="M82" i="51"/>
  <c r="M86" i="51"/>
  <c r="M95" i="51"/>
  <c r="J42" i="51"/>
  <c r="M63" i="49"/>
  <c r="M67" i="49"/>
  <c r="M71" i="49"/>
  <c r="M75" i="49"/>
  <c r="M79" i="49"/>
  <c r="J4" i="49"/>
  <c r="J8" i="49"/>
  <c r="J12" i="49"/>
  <c r="J16" i="49"/>
  <c r="J20" i="49"/>
  <c r="J24" i="49"/>
  <c r="J28" i="49"/>
  <c r="J32" i="49"/>
  <c r="J36" i="49"/>
  <c r="J40" i="49"/>
  <c r="J44" i="49"/>
  <c r="J48" i="49"/>
  <c r="J52" i="49"/>
  <c r="J56" i="49"/>
  <c r="J84" i="49"/>
  <c r="J89" i="49"/>
  <c r="J94" i="49"/>
  <c r="J98" i="49"/>
  <c r="J102" i="49"/>
  <c r="J106" i="49"/>
  <c r="J62" i="49"/>
  <c r="J66" i="49"/>
  <c r="J70" i="49"/>
  <c r="J74" i="49"/>
  <c r="J78" i="49"/>
  <c r="J112" i="49"/>
  <c r="J116" i="49"/>
  <c r="J120" i="49"/>
  <c r="J124" i="49"/>
  <c r="J127" i="49"/>
  <c r="J129" i="49"/>
  <c r="J132" i="49"/>
  <c r="J7" i="36"/>
  <c r="J11" i="36"/>
  <c r="J15" i="36"/>
  <c r="J19" i="36"/>
  <c r="J23" i="36"/>
  <c r="J27" i="36"/>
  <c r="J40" i="36"/>
  <c r="J44" i="36"/>
  <c r="J49" i="36"/>
  <c r="J54" i="36"/>
  <c r="J61" i="36"/>
  <c r="J65" i="36"/>
  <c r="J69" i="36"/>
  <c r="J31" i="36"/>
  <c r="J3" i="36"/>
  <c r="P189" i="13"/>
  <c r="M86" i="13"/>
  <c r="M102" i="13"/>
  <c r="M113" i="13"/>
  <c r="M117" i="13"/>
  <c r="M220" i="13"/>
  <c r="M172" i="13"/>
  <c r="M230" i="13"/>
  <c r="M169" i="13"/>
  <c r="P30" i="51"/>
  <c r="P34" i="51"/>
  <c r="M46" i="51"/>
  <c r="M54" i="51"/>
  <c r="M60" i="51"/>
  <c r="M66" i="51"/>
  <c r="M70" i="51"/>
  <c r="M83" i="51"/>
  <c r="M87" i="51"/>
  <c r="M96" i="51"/>
  <c r="J43" i="51"/>
  <c r="M57" i="49"/>
  <c r="M92" i="49"/>
  <c r="M64" i="49"/>
  <c r="M68" i="49"/>
  <c r="M72" i="49"/>
  <c r="M76" i="49"/>
  <c r="M80" i="49"/>
  <c r="J5" i="49"/>
  <c r="J9" i="49"/>
  <c r="J13" i="49"/>
  <c r="J17" i="49"/>
  <c r="J21" i="49"/>
  <c r="J25" i="49"/>
  <c r="J29" i="49"/>
  <c r="J33" i="49"/>
  <c r="J37" i="49"/>
  <c r="J41" i="49"/>
  <c r="J45" i="49"/>
  <c r="J49" i="49"/>
  <c r="J53" i="49"/>
  <c r="J59" i="49"/>
  <c r="J86" i="49"/>
  <c r="J90" i="49"/>
  <c r="J95" i="49"/>
  <c r="J99" i="49"/>
  <c r="J103" i="49"/>
  <c r="J109" i="49"/>
  <c r="J63" i="49"/>
  <c r="J67" i="49"/>
  <c r="J71" i="49"/>
  <c r="J75" i="49"/>
  <c r="J79" i="49"/>
  <c r="J113" i="49"/>
  <c r="J117" i="49"/>
  <c r="J121" i="49"/>
  <c r="J125" i="49"/>
  <c r="J130" i="49"/>
  <c r="J4" i="36"/>
  <c r="J8" i="36"/>
  <c r="J12" i="36"/>
  <c r="J16" i="36"/>
  <c r="J20" i="36"/>
  <c r="J24" i="36"/>
  <c r="J28" i="36"/>
  <c r="J37" i="36"/>
  <c r="J41" i="36"/>
  <c r="J45" i="36"/>
  <c r="J50" i="36"/>
  <c r="J52" i="36"/>
  <c r="J55" i="36"/>
  <c r="J62" i="36"/>
  <c r="J66" i="36"/>
  <c r="J70" i="36"/>
  <c r="J32" i="36"/>
  <c r="P190" i="13"/>
  <c r="P227" i="13"/>
  <c r="M188" i="13"/>
  <c r="M192" i="13"/>
  <c r="M74" i="13"/>
  <c r="M78" i="13"/>
  <c r="M82" i="13"/>
  <c r="M217" i="13"/>
  <c r="J83" i="49"/>
  <c r="P31" i="51"/>
  <c r="P35" i="51"/>
  <c r="M49" i="51"/>
  <c r="M55" i="51"/>
  <c r="M61" i="51"/>
  <c r="M67" i="51"/>
  <c r="M71" i="51"/>
  <c r="M84" i="51"/>
  <c r="M90" i="51"/>
  <c r="J44" i="51"/>
  <c r="M93" i="49"/>
  <c r="M65" i="49"/>
  <c r="M69" i="49"/>
  <c r="M73" i="49"/>
  <c r="M77" i="49"/>
  <c r="M81" i="49"/>
  <c r="M115" i="49"/>
  <c r="J6" i="49"/>
  <c r="J10" i="49"/>
  <c r="J14" i="49"/>
  <c r="J18" i="49"/>
  <c r="J22" i="49"/>
  <c r="J26" i="49"/>
  <c r="J30" i="49"/>
  <c r="J34" i="49"/>
  <c r="J38" i="49"/>
  <c r="J42" i="49"/>
  <c r="J46" i="49"/>
  <c r="J50" i="49"/>
  <c r="J54" i="49"/>
  <c r="J60" i="49"/>
  <c r="J87" i="49"/>
  <c r="J92" i="49"/>
  <c r="J96" i="49"/>
  <c r="J100" i="49"/>
  <c r="J104" i="49"/>
  <c r="J110" i="49"/>
  <c r="J64" i="49"/>
  <c r="J68" i="49"/>
  <c r="J72" i="49"/>
  <c r="J76" i="49"/>
  <c r="J80" i="49"/>
  <c r="J114" i="49"/>
  <c r="J118" i="49"/>
  <c r="J122" i="49"/>
  <c r="J126" i="49"/>
  <c r="J128" i="49"/>
  <c r="J131" i="49"/>
  <c r="J5" i="36"/>
  <c r="J9" i="36"/>
  <c r="J13" i="36"/>
  <c r="J17" i="36"/>
  <c r="J21" i="36"/>
  <c r="J25" i="36"/>
  <c r="J29" i="36"/>
  <c r="J38" i="36"/>
  <c r="J42" i="36"/>
  <c r="J47" i="36"/>
  <c r="J51" i="36"/>
  <c r="J53" i="36"/>
  <c r="J56" i="36"/>
  <c r="J63" i="36"/>
  <c r="J67" i="36"/>
  <c r="J71" i="36"/>
  <c r="J73" i="36"/>
  <c r="J33" i="36"/>
  <c r="P230" i="13"/>
  <c r="P175" i="13"/>
  <c r="M189" i="13"/>
  <c r="M71" i="13"/>
  <c r="M99" i="13"/>
  <c r="M218" i="13"/>
  <c r="M90" i="13"/>
  <c r="M95" i="13"/>
  <c r="M170" i="13"/>
  <c r="M227" i="13"/>
  <c r="J176" i="13"/>
  <c r="J179" i="13"/>
  <c r="J183" i="13"/>
  <c r="J187" i="13"/>
  <c r="J192" i="13"/>
  <c r="J196" i="13"/>
  <c r="J205" i="13"/>
  <c r="J209" i="13"/>
  <c r="J5" i="13"/>
  <c r="J9" i="13"/>
  <c r="J13" i="13"/>
  <c r="J21" i="13"/>
  <c r="J25" i="13"/>
  <c r="J27" i="13"/>
  <c r="J31" i="13"/>
  <c r="J35" i="13"/>
  <c r="J39" i="13"/>
  <c r="J43" i="13"/>
  <c r="J47" i="13"/>
  <c r="J54" i="13"/>
  <c r="J58" i="13"/>
  <c r="J62" i="13"/>
  <c r="J64" i="13"/>
  <c r="J68" i="13"/>
  <c r="J51" i="13"/>
  <c r="J74" i="13"/>
  <c r="J78" i="13"/>
  <c r="J82" i="13"/>
  <c r="J87" i="13"/>
  <c r="J92" i="13"/>
  <c r="J97" i="13"/>
  <c r="J103" i="13"/>
  <c r="J108" i="13"/>
  <c r="J114" i="13"/>
  <c r="J118" i="13"/>
  <c r="J217" i="13"/>
  <c r="J130" i="13"/>
  <c r="J137" i="13"/>
  <c r="J140" i="13"/>
  <c r="J144" i="13"/>
  <c r="J224" i="13"/>
  <c r="J70" i="13"/>
  <c r="J231" i="13"/>
  <c r="J164" i="13"/>
  <c r="J156" i="13"/>
  <c r="J160" i="13"/>
  <c r="J211" i="13"/>
  <c r="M3" i="37"/>
  <c r="J7" i="37"/>
  <c r="J11" i="37"/>
  <c r="J15" i="37"/>
  <c r="M23" i="35"/>
  <c r="M71" i="35"/>
  <c r="J4" i="35"/>
  <c r="J11" i="35"/>
  <c r="J15" i="35"/>
  <c r="J23" i="35"/>
  <c r="J27" i="35"/>
  <c r="M171" i="13"/>
  <c r="M231" i="13"/>
  <c r="J180" i="13"/>
  <c r="J184" i="13"/>
  <c r="J188" i="13"/>
  <c r="J193" i="13"/>
  <c r="J198" i="13"/>
  <c r="J206" i="13"/>
  <c r="J210" i="13"/>
  <c r="J6" i="13"/>
  <c r="J10" i="13"/>
  <c r="J14" i="13"/>
  <c r="J18" i="13"/>
  <c r="J22" i="13"/>
  <c r="J26" i="13"/>
  <c r="J28" i="13"/>
  <c r="J32" i="13"/>
  <c r="J36" i="13"/>
  <c r="J40" i="13"/>
  <c r="J44" i="13"/>
  <c r="J48" i="13"/>
  <c r="J55" i="13"/>
  <c r="J59" i="13"/>
  <c r="J65" i="13"/>
  <c r="J71" i="13"/>
  <c r="J75" i="13"/>
  <c r="J79" i="13"/>
  <c r="J83" i="13"/>
  <c r="J88" i="13"/>
  <c r="J93" i="13"/>
  <c r="J99" i="13"/>
  <c r="J104" i="13"/>
  <c r="J109" i="13"/>
  <c r="J111" i="13"/>
  <c r="J115" i="13"/>
  <c r="J119" i="13"/>
  <c r="J218" i="13"/>
  <c r="J133" i="13"/>
  <c r="J131" i="13"/>
  <c r="J141" i="13"/>
  <c r="J221" i="13"/>
  <c r="J225" i="13"/>
  <c r="J161" i="13"/>
  <c r="J166" i="13"/>
  <c r="J157" i="13"/>
  <c r="J214" i="13"/>
  <c r="J212" i="13"/>
  <c r="J4" i="37"/>
  <c r="J8" i="37"/>
  <c r="J12" i="37"/>
  <c r="J16" i="37"/>
  <c r="J5" i="35"/>
  <c r="J12" i="35"/>
  <c r="J16" i="35"/>
  <c r="J24" i="35"/>
  <c r="J28" i="35"/>
  <c r="J32" i="35"/>
  <c r="J48" i="35"/>
  <c r="J56" i="35"/>
  <c r="J60" i="35"/>
  <c r="J64" i="35"/>
  <c r="J68" i="35"/>
  <c r="J72" i="35"/>
  <c r="M219" i="13"/>
  <c r="M173" i="13"/>
  <c r="J177" i="13"/>
  <c r="J181" i="13"/>
  <c r="J185" i="13"/>
  <c r="J189" i="13"/>
  <c r="J194" i="13"/>
  <c r="J197" i="13"/>
  <c r="J199" i="13"/>
  <c r="J203" i="13"/>
  <c r="J207" i="13"/>
  <c r="J3" i="13"/>
  <c r="J7" i="13"/>
  <c r="J11" i="13"/>
  <c r="J15" i="13"/>
  <c r="J19" i="13"/>
  <c r="J23" i="13"/>
  <c r="J167" i="13"/>
  <c r="J29" i="13"/>
  <c r="J33" i="13"/>
  <c r="J37" i="13"/>
  <c r="J41" i="13"/>
  <c r="J45" i="13"/>
  <c r="J52" i="13"/>
  <c r="J56" i="13"/>
  <c r="J60" i="13"/>
  <c r="J66" i="13"/>
  <c r="J50" i="13"/>
  <c r="J72" i="13"/>
  <c r="J76" i="13"/>
  <c r="J80" i="13"/>
  <c r="J84" i="13"/>
  <c r="J90" i="13"/>
  <c r="J95" i="13"/>
  <c r="J101" i="13"/>
  <c r="J105" i="13"/>
  <c r="J112" i="13"/>
  <c r="J116" i="13"/>
  <c r="J120" i="13"/>
  <c r="J127" i="13"/>
  <c r="J219" i="13"/>
  <c r="J132" i="13"/>
  <c r="J134" i="13"/>
  <c r="J138" i="13"/>
  <c r="J142" i="13"/>
  <c r="J145" i="13"/>
  <c r="J222" i="13"/>
  <c r="J226" i="13"/>
  <c r="J227" i="13"/>
  <c r="J162" i="13"/>
  <c r="J168" i="13"/>
  <c r="J158" i="13"/>
  <c r="J215" i="13"/>
  <c r="J175" i="13"/>
  <c r="J5" i="37"/>
  <c r="J9" i="37"/>
  <c r="J13" i="37"/>
  <c r="J17" i="37"/>
  <c r="M13" i="35"/>
  <c r="M61" i="35"/>
  <c r="M65" i="35"/>
  <c r="J6" i="35"/>
  <c r="J9" i="35"/>
  <c r="J13" i="35"/>
  <c r="J21" i="35"/>
  <c r="J29" i="35"/>
  <c r="J33" i="35"/>
  <c r="M101" i="13"/>
  <c r="M174" i="13"/>
  <c r="M168" i="13"/>
  <c r="J178" i="13"/>
  <c r="J182" i="13"/>
  <c r="J186" i="13"/>
  <c r="J190" i="13"/>
  <c r="J195" i="13"/>
  <c r="J200" i="13"/>
  <c r="J204" i="13"/>
  <c r="J208" i="13"/>
  <c r="J4" i="13"/>
  <c r="J8" i="13"/>
  <c r="J12" i="13"/>
  <c r="J16" i="13"/>
  <c r="J20" i="13"/>
  <c r="J24" i="13"/>
  <c r="J163" i="13"/>
  <c r="J30" i="13"/>
  <c r="J34" i="13"/>
  <c r="J38" i="13"/>
  <c r="J42" i="13"/>
  <c r="J46" i="13"/>
  <c r="J53" i="13"/>
  <c r="J57" i="13"/>
  <c r="J61" i="13"/>
  <c r="J63" i="13"/>
  <c r="J67" i="13"/>
  <c r="J49" i="13"/>
  <c r="J73" i="13"/>
  <c r="J77" i="13"/>
  <c r="J81" i="13"/>
  <c r="J86" i="13"/>
  <c r="J91" i="13"/>
  <c r="J96" i="13"/>
  <c r="J102" i="13"/>
  <c r="J106" i="13"/>
  <c r="J113" i="13"/>
  <c r="J117" i="13"/>
  <c r="J126" i="13"/>
  <c r="J128" i="13"/>
  <c r="J220" i="13"/>
  <c r="J129" i="13"/>
  <c r="J135" i="13"/>
  <c r="J139" i="13"/>
  <c r="J143" i="13"/>
  <c r="J147" i="13"/>
  <c r="J223" i="13"/>
  <c r="J69" i="13"/>
  <c r="J230" i="13"/>
  <c r="J165" i="13"/>
  <c r="J169" i="13"/>
  <c r="J159" i="13"/>
  <c r="J216" i="13"/>
  <c r="J6" i="37"/>
  <c r="J10" i="37"/>
  <c r="J14" i="37"/>
  <c r="J3" i="37"/>
  <c r="M58" i="35"/>
  <c r="M62" i="35"/>
  <c r="M3" i="35"/>
  <c r="J10" i="35"/>
  <c r="J14" i="35"/>
  <c r="J22" i="35"/>
  <c r="J26" i="35"/>
  <c r="J30" i="35"/>
  <c r="J34" i="35"/>
  <c r="J46" i="35"/>
  <c r="J50" i="35"/>
  <c r="J54" i="35"/>
  <c r="J58" i="35"/>
  <c r="J62" i="35"/>
  <c r="J66" i="35"/>
  <c r="J3" i="35"/>
  <c r="J45" i="35"/>
  <c r="J61" i="35"/>
  <c r="M24" i="48"/>
  <c r="M28" i="48"/>
  <c r="M32" i="48"/>
  <c r="M36" i="48"/>
  <c r="M40" i="48"/>
  <c r="M46" i="48"/>
  <c r="M50" i="48"/>
  <c r="M54" i="48"/>
  <c r="M58" i="48"/>
  <c r="M62" i="48"/>
  <c r="J6" i="48"/>
  <c r="J10" i="48"/>
  <c r="J14" i="48"/>
  <c r="J18" i="48"/>
  <c r="J33" i="48"/>
  <c r="J67" i="48"/>
  <c r="J71" i="48"/>
  <c r="J3" i="48"/>
  <c r="P119" i="33"/>
  <c r="M57" i="33"/>
  <c r="M65" i="33"/>
  <c r="M73" i="33"/>
  <c r="M133" i="33"/>
  <c r="M161" i="33"/>
  <c r="M181" i="33"/>
  <c r="J7" i="33"/>
  <c r="J11" i="33"/>
  <c r="J15" i="33"/>
  <c r="J19" i="33"/>
  <c r="J23" i="33"/>
  <c r="J27" i="33"/>
  <c r="J31" i="33"/>
  <c r="J35" i="33"/>
  <c r="J39" i="33"/>
  <c r="J43" i="33"/>
  <c r="J47" i="33"/>
  <c r="J51" i="33"/>
  <c r="J55" i="33"/>
  <c r="J59" i="33"/>
  <c r="J63" i="33"/>
  <c r="J67" i="33"/>
  <c r="J71" i="33"/>
  <c r="J75" i="33"/>
  <c r="J79" i="33"/>
  <c r="J83" i="33"/>
  <c r="J87" i="33"/>
  <c r="J91" i="33"/>
  <c r="J95" i="33"/>
  <c r="J99" i="33"/>
  <c r="J103" i="33"/>
  <c r="J107" i="33"/>
  <c r="J111" i="33"/>
  <c r="J115" i="33"/>
  <c r="J119" i="33"/>
  <c r="J123" i="33"/>
  <c r="J127" i="33"/>
  <c r="J131" i="33"/>
  <c r="J135" i="33"/>
  <c r="J139" i="33"/>
  <c r="J143" i="33"/>
  <c r="J147" i="33"/>
  <c r="J151" i="33"/>
  <c r="J155" i="33"/>
  <c r="J159" i="33"/>
  <c r="J163" i="33"/>
  <c r="J167" i="33"/>
  <c r="J171" i="33"/>
  <c r="J175" i="33"/>
  <c r="J179" i="33"/>
  <c r="J183" i="33"/>
  <c r="J187" i="33"/>
  <c r="J191" i="33"/>
  <c r="J195" i="33"/>
  <c r="J199" i="33"/>
  <c r="J203" i="33"/>
  <c r="J207" i="33"/>
  <c r="J215" i="33"/>
  <c r="J47" i="35"/>
  <c r="J63" i="35"/>
  <c r="M14" i="48"/>
  <c r="M25" i="48"/>
  <c r="M29" i="48"/>
  <c r="M33" i="48"/>
  <c r="M37" i="48"/>
  <c r="M43" i="48"/>
  <c r="M47" i="48"/>
  <c r="M51" i="48"/>
  <c r="M55" i="48"/>
  <c r="M59" i="48"/>
  <c r="M63" i="48"/>
  <c r="M3" i="48"/>
  <c r="J7" i="48"/>
  <c r="J11" i="48"/>
  <c r="J15" i="48"/>
  <c r="J22" i="48"/>
  <c r="J34" i="48"/>
  <c r="J68" i="48"/>
  <c r="J72" i="48"/>
  <c r="P12" i="33"/>
  <c r="P80" i="33"/>
  <c r="P88" i="33"/>
  <c r="P96" i="33"/>
  <c r="P104" i="33"/>
  <c r="P112" i="33"/>
  <c r="P140" i="33"/>
  <c r="P148" i="33"/>
  <c r="P160" i="33"/>
  <c r="P168" i="33"/>
  <c r="P188" i="33"/>
  <c r="M126" i="33"/>
  <c r="M154" i="33"/>
  <c r="M194" i="33"/>
  <c r="M202" i="33"/>
  <c r="J4" i="33"/>
  <c r="J8" i="33"/>
  <c r="J12" i="33"/>
  <c r="J16" i="33"/>
  <c r="J20" i="33"/>
  <c r="J24" i="33"/>
  <c r="J28" i="33"/>
  <c r="J32" i="33"/>
  <c r="J36" i="33"/>
  <c r="J40" i="33"/>
  <c r="J44" i="33"/>
  <c r="J48" i="33"/>
  <c r="J52" i="33"/>
  <c r="J56" i="33"/>
  <c r="J60" i="33"/>
  <c r="J64" i="33"/>
  <c r="J68" i="33"/>
  <c r="J72" i="33"/>
  <c r="J76" i="33"/>
  <c r="J80" i="33"/>
  <c r="J84" i="33"/>
  <c r="J88" i="33"/>
  <c r="J92" i="33"/>
  <c r="J96" i="33"/>
  <c r="J100" i="33"/>
  <c r="J104" i="33"/>
  <c r="J108" i="33"/>
  <c r="J112" i="33"/>
  <c r="J116" i="33"/>
  <c r="J120" i="33"/>
  <c r="J124" i="33"/>
  <c r="J128" i="33"/>
  <c r="J132" i="33"/>
  <c r="J136" i="33"/>
  <c r="J140" i="33"/>
  <c r="J144" i="33"/>
  <c r="J148" i="33"/>
  <c r="J152" i="33"/>
  <c r="J156" i="33"/>
  <c r="J160" i="33"/>
  <c r="J164" i="33"/>
  <c r="J168" i="33"/>
  <c r="J172" i="33"/>
  <c r="J176" i="33"/>
  <c r="J180" i="33"/>
  <c r="J184" i="33"/>
  <c r="J188" i="33"/>
  <c r="J192" i="33"/>
  <c r="J196" i="33"/>
  <c r="J200" i="33"/>
  <c r="J204" i="33"/>
  <c r="J208" i="33"/>
  <c r="J212" i="33"/>
  <c r="J216" i="33"/>
  <c r="J3" i="49"/>
  <c r="J209" i="33"/>
  <c r="J31" i="35"/>
  <c r="J49" i="35"/>
  <c r="J57" i="35"/>
  <c r="J65" i="35"/>
  <c r="M22" i="48"/>
  <c r="M26" i="48"/>
  <c r="M30" i="48"/>
  <c r="M38" i="48"/>
  <c r="M44" i="48"/>
  <c r="M48" i="48"/>
  <c r="M52" i="48"/>
  <c r="M56" i="48"/>
  <c r="M60" i="48"/>
  <c r="M64" i="48"/>
  <c r="J4" i="48"/>
  <c r="J8" i="48"/>
  <c r="J12" i="48"/>
  <c r="J16" i="48"/>
  <c r="J23" i="48"/>
  <c r="J35" i="48"/>
  <c r="J65" i="48"/>
  <c r="J69" i="48"/>
  <c r="J73" i="48"/>
  <c r="P57" i="33"/>
  <c r="P65" i="33"/>
  <c r="P73" i="33"/>
  <c r="P133" i="33"/>
  <c r="P161" i="33"/>
  <c r="P181" i="33"/>
  <c r="M119" i="33"/>
  <c r="M175" i="33"/>
  <c r="J5" i="33"/>
  <c r="J9" i="33"/>
  <c r="J13" i="33"/>
  <c r="J17" i="33"/>
  <c r="J21" i="33"/>
  <c r="J25" i="33"/>
  <c r="J29" i="33"/>
  <c r="J33" i="33"/>
  <c r="J37" i="33"/>
  <c r="J41" i="33"/>
  <c r="J45" i="33"/>
  <c r="J49" i="33"/>
  <c r="J53" i="33"/>
  <c r="J57" i="33"/>
  <c r="J61" i="33"/>
  <c r="J65" i="33"/>
  <c r="J69" i="33"/>
  <c r="J73" i="33"/>
  <c r="J77" i="33"/>
  <c r="J81" i="33"/>
  <c r="J85" i="33"/>
  <c r="J89" i="33"/>
  <c r="J93" i="33"/>
  <c r="J97" i="33"/>
  <c r="J101" i="33"/>
  <c r="J105" i="33"/>
  <c r="J109" i="33"/>
  <c r="J113" i="33"/>
  <c r="J117" i="33"/>
  <c r="J121" i="33"/>
  <c r="J125" i="33"/>
  <c r="J129" i="33"/>
  <c r="J133" i="33"/>
  <c r="J137" i="33"/>
  <c r="J141" i="33"/>
  <c r="J145" i="33"/>
  <c r="J149" i="33"/>
  <c r="J153" i="33"/>
  <c r="J157" i="33"/>
  <c r="J161" i="33"/>
  <c r="J165" i="33"/>
  <c r="J169" i="33"/>
  <c r="J173" i="33"/>
  <c r="J177" i="33"/>
  <c r="J181" i="33"/>
  <c r="J185" i="33"/>
  <c r="J189" i="33"/>
  <c r="J193" i="33"/>
  <c r="J197" i="33"/>
  <c r="J201" i="33"/>
  <c r="J205" i="33"/>
  <c r="J213" i="33"/>
  <c r="J35" i="35"/>
  <c r="J51" i="35"/>
  <c r="J59" i="35"/>
  <c r="J67" i="35"/>
  <c r="J73" i="35"/>
  <c r="M8" i="48"/>
  <c r="M27" i="48"/>
  <c r="M31" i="48"/>
  <c r="M39" i="48"/>
  <c r="M45" i="48"/>
  <c r="M49" i="48"/>
  <c r="M53" i="48"/>
  <c r="M57" i="48"/>
  <c r="M61" i="48"/>
  <c r="J5" i="48"/>
  <c r="J9" i="48"/>
  <c r="J13" i="48"/>
  <c r="J17" i="48"/>
  <c r="J24" i="48"/>
  <c r="J66" i="48"/>
  <c r="J70" i="48"/>
  <c r="J74" i="48"/>
  <c r="P126" i="33"/>
  <c r="P154" i="33"/>
  <c r="P194" i="33"/>
  <c r="P202" i="33"/>
  <c r="M12" i="33"/>
  <c r="M80" i="33"/>
  <c r="M88" i="33"/>
  <c r="M96" i="33"/>
  <c r="M104" i="33"/>
  <c r="M112" i="33"/>
  <c r="M140" i="33"/>
  <c r="M148" i="33"/>
  <c r="M160" i="33"/>
  <c r="M168" i="33"/>
  <c r="M188" i="33"/>
  <c r="J6" i="33"/>
  <c r="J10" i="33"/>
  <c r="J14" i="33"/>
  <c r="J18" i="33"/>
  <c r="J22" i="33"/>
  <c r="J26" i="33"/>
  <c r="J30" i="33"/>
  <c r="J34" i="33"/>
  <c r="J38" i="33"/>
  <c r="J42" i="33"/>
  <c r="J46" i="33"/>
  <c r="J50" i="33"/>
  <c r="J54" i="33"/>
  <c r="J58" i="33"/>
  <c r="J62" i="33"/>
  <c r="J66" i="33"/>
  <c r="J70" i="33"/>
  <c r="J74" i="33"/>
  <c r="J78" i="33"/>
  <c r="J82" i="33"/>
  <c r="J86" i="33"/>
  <c r="J90" i="33"/>
  <c r="J94" i="33"/>
  <c r="J98" i="33"/>
  <c r="J102" i="33"/>
  <c r="J106" i="33"/>
  <c r="J110" i="33"/>
  <c r="J114" i="33"/>
  <c r="J118" i="33"/>
  <c r="J122" i="33"/>
  <c r="J126" i="33"/>
  <c r="J130" i="33"/>
  <c r="J134" i="33"/>
  <c r="J138" i="33"/>
  <c r="J142" i="33"/>
  <c r="J146" i="33"/>
  <c r="J150" i="33"/>
  <c r="J154" i="33"/>
  <c r="J158" i="33"/>
  <c r="J162" i="33"/>
  <c r="J166" i="33"/>
  <c r="J170" i="33"/>
  <c r="J174" i="33"/>
  <c r="J178" i="33"/>
  <c r="J182" i="33"/>
  <c r="J186" i="33"/>
  <c r="J190" i="33"/>
  <c r="J194" i="33"/>
  <c r="J198" i="33"/>
  <c r="J202" i="33"/>
  <c r="J206" i="33"/>
  <c r="J210" i="33"/>
  <c r="J214" i="33"/>
  <c r="J211" i="33"/>
  <c r="J3" i="33"/>
  <c r="M83" i="49"/>
  <c r="J57" i="49"/>
  <c r="M79" i="51"/>
  <c r="M73" i="51"/>
  <c r="M89" i="51"/>
  <c r="M78" i="51"/>
  <c r="M76" i="51"/>
  <c r="M94" i="51"/>
  <c r="M41" i="51"/>
  <c r="M43" i="51"/>
  <c r="M40" i="51"/>
  <c r="M45" i="51"/>
  <c r="M88" i="51"/>
  <c r="M44" i="51"/>
  <c r="M75" i="51"/>
  <c r="M77" i="51"/>
  <c r="M74" i="51"/>
  <c r="M47" i="51"/>
  <c r="M80" i="51"/>
  <c r="M81" i="51"/>
  <c r="M52" i="51"/>
  <c r="M64" i="51"/>
  <c r="P48" i="51"/>
  <c r="M42" i="51"/>
  <c r="M57" i="51"/>
  <c r="P65" i="51"/>
  <c r="P52" i="51"/>
  <c r="M58" i="51"/>
  <c r="M92" i="51"/>
  <c r="P58" i="51"/>
  <c r="M65" i="51"/>
  <c r="M51" i="51"/>
  <c r="P92" i="51"/>
  <c r="P80" i="51"/>
  <c r="M48" i="51"/>
  <c r="P81" i="51"/>
  <c r="M91" i="51"/>
  <c r="J213" i="13"/>
  <c r="J58" i="49"/>
  <c r="M107" i="49"/>
  <c r="M98" i="49"/>
  <c r="M109" i="49"/>
  <c r="M110" i="49"/>
  <c r="M82" i="49"/>
  <c r="M91" i="49"/>
  <c r="J91" i="49"/>
  <c r="M58" i="49"/>
  <c r="M23" i="48"/>
  <c r="M35" i="48"/>
  <c r="M34" i="48"/>
  <c r="M69" i="35"/>
  <c r="M70" i="35"/>
  <c r="J191" i="13"/>
  <c r="R38" i="24"/>
  <c r="P40" i="24"/>
  <c r="J42" i="35" s="1"/>
  <c r="J38" i="35" l="1"/>
  <c r="J19" i="35"/>
  <c r="J52" i="35"/>
  <c r="J20" i="35"/>
  <c r="J43" i="35"/>
  <c r="J7" i="35"/>
  <c r="J55" i="35"/>
  <c r="J44" i="35"/>
  <c r="J53" i="35"/>
  <c r="J18" i="35"/>
  <c r="J40" i="35"/>
  <c r="J8" i="35"/>
  <c r="J39" i="35"/>
  <c r="J17" i="35"/>
  <c r="J36" i="35"/>
  <c r="J41" i="35"/>
  <c r="J37" i="35"/>
  <c r="R39" i="24"/>
  <c r="P41" i="24"/>
  <c r="P42" i="24" l="1"/>
  <c r="R40" i="24"/>
  <c r="R41" i="24" l="1"/>
  <c r="R4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Manchester City Council</author>
    <author>Quinn, Bradley</author>
  </authors>
  <commentList>
    <comment ref="H22" authorId="0" shapeId="0" xr:uid="{00000000-0006-0000-0300-000001000000}">
      <text>
        <r>
          <rPr>
            <sz val="8"/>
            <color rgb="FF000000"/>
            <rFont val="Tahoma"/>
            <family val="2"/>
          </rPr>
          <t xml:space="preserve">When calculating total public value, the fiscal benefit to HMT should be excluded, as it is a transfer payment.  Total public value is £443 (2010/11 prices).  See further explanation in Comments cell.
</t>
        </r>
      </text>
    </comment>
    <comment ref="H23" authorId="0" shapeId="0" xr:uid="{00000000-0006-0000-0300-000002000000}">
      <text>
        <r>
          <rPr>
            <sz val="8"/>
            <color rgb="FF000000"/>
            <rFont val="Tahoma"/>
            <family val="2"/>
          </rPr>
          <t xml:space="preserve">When calculating total public value, the fiscal benefit to HMT should be excluded, as it is a transfer payment.  Total public value is £1,059 (2010/11 prices).  See further explanation in Comments cell.
</t>
        </r>
      </text>
    </comment>
    <comment ref="H24" authorId="0" shapeId="0" xr:uid="{00000000-0006-0000-0300-000003000000}">
      <text>
        <r>
          <rPr>
            <sz val="8"/>
            <color rgb="FF000000"/>
            <rFont val="Tahoma"/>
            <family val="2"/>
          </rPr>
          <t xml:space="preserve">When calculating total public value, the fiscal benefit to HMT should be excluded, as it is a transfer payment.  Total public value is £878 (2010/11 prices).  See further explanation in Comments cell.
</t>
        </r>
      </text>
    </comment>
    <comment ref="H33" authorId="0" shapeId="0" xr:uid="{00000000-0006-0000-0300-000004000000}">
      <text>
        <r>
          <rPr>
            <sz val="8"/>
            <color rgb="FF000000"/>
            <rFont val="Tahoma"/>
            <family val="2"/>
          </rPr>
          <t xml:space="preserve">When calculating total public value, the fiscal benefit to HMT should be excluded, as it is a transfer payment.  Total public value is £921 (2010/11 prices).  See further explanation in Comments cell.
</t>
        </r>
      </text>
    </comment>
    <comment ref="H34" authorId="0" shapeId="0" xr:uid="{00000000-0006-0000-0300-000005000000}">
      <text>
        <r>
          <rPr>
            <sz val="8"/>
            <color rgb="FF000000"/>
            <rFont val="Tahoma"/>
            <family val="2"/>
          </rPr>
          <t xml:space="preserve">When calculating total public value, the fiscal benefit to HMT should be excluded, as it is a transfer payment.  Total public value is £1,382 (2010/11 prices).  See further explanation in Comments cell.
</t>
        </r>
      </text>
    </comment>
    <comment ref="H35" authorId="0" shapeId="0" xr:uid="{00000000-0006-0000-0300-000006000000}">
      <text>
        <r>
          <rPr>
            <sz val="8"/>
            <color rgb="FF000000"/>
            <rFont val="Tahoma"/>
            <family val="2"/>
          </rPr>
          <t xml:space="preserve">When calculating total public value, the fiscal benefit to HMT should be excluded, as it is a transfer payment.  Total public value is £1,123 (2010/11 prices).  See further explanation in Comments cell.
</t>
        </r>
      </text>
    </comment>
    <comment ref="H41" authorId="1" shapeId="0" xr:uid="{949AD835-00D6-4C69-A7BA-FFBD6BD6F1C1}">
      <text>
        <r>
          <rPr>
            <sz val="9"/>
            <color rgb="FF000000"/>
            <rFont val="Arial"/>
            <family val="2"/>
          </rPr>
          <t>When calculating total public value, the fiscal benefit to HMT should be excluded, as it is a transfer payment.</t>
        </r>
      </text>
    </comment>
    <comment ref="H42" authorId="1" shapeId="0" xr:uid="{4DA9FAFA-5EA6-497C-A1FB-257B180BA9B6}">
      <text>
        <r>
          <rPr>
            <sz val="9"/>
            <color rgb="FF000000"/>
            <rFont val="Arial"/>
            <family val="2"/>
          </rPr>
          <t>When calculating total public value, the fiscal benefit to HMT should be excluded, as it is a transfer payment.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Manchester City Council</author>
  </authors>
  <commentList>
    <comment ref="H3" authorId="0" shapeId="0" xr:uid="{00000000-0006-0000-0400-000001000000}">
      <text>
        <r>
          <rPr>
            <sz val="8"/>
            <color rgb="FF000000"/>
            <rFont val="Tahoma"/>
            <family val="2"/>
          </rPr>
          <t>When calculating total public value, £10,924 of the fiscal benefits to DWP and HMRC should be excluded, as these represent transfer payments.  The only element of DWP and HMRC benefit that is included in the public value calculation is that related to operational costs.  Total public value is £19,153 (2017/18 prices), and includes fiscal benefits falling to the NHS.  See further explanation in the Comment cell.</t>
        </r>
      </text>
    </comment>
    <comment ref="H13" authorId="0" shapeId="0" xr:uid="{00000000-0006-0000-0400-000002000000}">
      <text>
        <r>
          <rPr>
            <sz val="8"/>
            <color rgb="FF000000"/>
            <rFont val="Tahoma"/>
            <family val="2"/>
          </rPr>
          <t>When calculating total public value, £11,207 of the fiscal benefits to DWP and HMRC should be excluded, as these represent transfer payments.  The only element of DWP and HMRC benefit that is included in the public value calculation is that related to operational costs.  Total public value is £15,963 (2017/18 prices), and includes fiscal benefits falling to the NHS.  See further explanation in the Comment cell.</t>
        </r>
      </text>
    </comment>
    <comment ref="H23" authorId="0" shapeId="0" xr:uid="{00000000-0006-0000-0400-000003000000}">
      <text>
        <r>
          <rPr>
            <sz val="8"/>
            <color rgb="FF000000"/>
            <rFont val="Tahoma"/>
            <family val="2"/>
          </rPr>
          <t>When calculating total public value, £4,976 of the fiscal benefits to DWP and HMRC should be excluded, as these represent transfer payments.  The only element of DWP and HMRC benefit that is included in the public value calculation is that related to operational costs.  Total public value is £10,504 (2017/18 prices), and includes fiscal benefits falling to the NHS.  See further explanation in the Comment cell.</t>
        </r>
      </text>
    </comment>
  </commentList>
</comments>
</file>

<file path=xl/sharedStrings.xml><?xml version="1.0" encoding="utf-8"?>
<sst xmlns="http://schemas.openxmlformats.org/spreadsheetml/2006/main" count="10991" uniqueCount="3269">
  <si>
    <t>This is the estimated annual staffing cost associated with a full-time Troubled Families Employment Adviser (TFEA) at Executive Officer (EO) grade.  TFEAs were introduced as part of the government's Troubled Families programme in 2013; they are specialist Jobcentre Plus (JCP) advisers who work with local troubled families teams to give intensive, practical support to families to help them move into employment.  This support includes CV writing, job interview skills, and signposting to local training opportunities and job vacancies.
The entry is derived from data on staffing costs, including employers’ pension contributions and national insurance (NI) payments.  Note that it is not the paid salary.  Most TFEAs are at EO grade, although Higher Executive Officer (HEO) grade will apply in some areas - see the subsidiary cost line below.  DWP has agreed a figure of 3% to cover travel, learning and development, IT and telephony; this is included in the overall total. 
In addition to this national average, DWP has derived an Inner London cost for a TFEA at EO grade of £36,121, and an Outer London cost of £33,123 (both at 2013/14 prices).</t>
  </si>
  <si>
    <t>This is the estimated annual staffing cost associated with a full-time Troubled Families Employment Adviser (TFEA) at Higher Executive Officer (HEO) grade.  TFEAs were introduced as part of the government's Troubled Families programme in 2013; they are specialist Jobcentre Plus (JCP) advisers who work with local troubled families teams to give intensive, practical support to families to help them move into employment.  This support includes CV writing, job interview skills, and signposting to local training opportunities and job vacancies.
The entry is derived from data on staffing costs, including employers’ pension contributions and national insurance (NI) payments.  Note that it is not the paid salary.  Although Higher Executive Officer (HEO) grade will apply in some areas, most TFEAs are at Executive Officer (EO) grade - see the above headline entry.  DWP has agreed a figure of 3% to cover travel, learning and development, IT and telephony; this is included in the overall total. 
In addition to this national average, DWP has derived an Inner London cost for a TFEA at HEO grade of £43,806, and an Outer London cost of £40,698 (both at 2013/14 prices).</t>
  </si>
  <si>
    <t>Drugs misuse - average annual savings resulting from reductions in drug-related offending and health and social care costs as a result of delivery of a structured, effective treatment programme</t>
  </si>
  <si>
    <t>Offender, Prison 
Average cost across all prisons, including central costs (costs per prisoner per annum)</t>
  </si>
  <si>
    <t>CR3.0.1</t>
  </si>
  <si>
    <t>CR3.0.2</t>
  </si>
  <si>
    <t>CR3.0.3</t>
  </si>
  <si>
    <t>Offender, Prison 
Male dispersal prison including central costs
(costs per prisoner per annum)</t>
  </si>
  <si>
    <t>CR3.0.4</t>
  </si>
  <si>
    <t>Offender, Prison 
Male open prison including central costs
(costs per prisoner per annum)</t>
  </si>
  <si>
    <t>CR3.0.5</t>
  </si>
  <si>
    <t>CR3.0.6</t>
  </si>
  <si>
    <t>Offender, Prison 
Female closed prison including central costs
(costs per prisoner per annum)</t>
  </si>
  <si>
    <t>CR3.0.7</t>
  </si>
  <si>
    <t>Offender, Prison 
Female open prison including central costs
(costs per prisoner per annum)</t>
  </si>
  <si>
    <t>CR3.0.8</t>
  </si>
  <si>
    <t>Offender, Prison 
Female local prison including central costs
(costs per prisoner per annum)</t>
  </si>
  <si>
    <t>Youth offender, prison
Male Young Offenders Institute, young people (ages 15-17), including central costs (costs per prisoner per annum)</t>
  </si>
  <si>
    <t>Estimating the crime reduction benefits of drug treatment and recovery (National Treatment Agency for Substance Misuse, 2012), p.11; and Drug Treatment Outcomes Research Study (DTORS) (Home Office, 2009), p.13</t>
  </si>
  <si>
    <t>This is a composite measure derived from the three constituent costs detailed below, which comprise savings from reduced drug-related offending by people in receipt of effective treatment, flowing to the criminal justice system, victim services and the NHS (the latter referring to the reduced physical harm perpetrated on victims due to fewer robberies), and savings from reduced demand for health and social care services by the client receiving treatment - see below for the constituent costs that make up the total headline cost quoted here.  More detail on how the cost is derived is given in the comments cells for the constituent cost lines, which also detail related economic and social costs noted in the source material.  Note that an updated cost at 2013-14 prices is given here, as the monetisation year for the two sources is different : the 2012 National Treatment Agency (NTA) publication, 'Estimating the crime reduction benefits of drug treatment and recovery' quotes 2010-11 prices; the Home Office's 2009 Drug Treatment Outcomes Research Study (DTORS) quotes 2006-07 prices.  The age of the second source explains the amber flag allocated to the data (note that this cost is likely to be updated on publication of forthcoming health research that is intended to accompany the 2012 NTA Crime Reduction report).
The economic value relates to the annual cost saving due to not buying drugs.  The social value is based upon the reduced health/well-being impact of drug abuse.  These values are sourced from the DTORS research, referenced as the source for the cost line HE2.0.3.  The social value is calculated from DTORS data that suggests that drug treatment leads to an extra 0.05 Quality-Adjusted Life Years (QALYs) compared to no drug treatment; this is monetised by applying a value of £60,000 per QALY (2009 prices).  Note that the economic and social values quoted for HE2.0.1 and HE2.0.2 are sourced from the NTA report, and do not relate to the DTORS values used for this headline cost.</t>
  </si>
  <si>
    <t>This figure refers to the 83,366 first-time entrants in 2000 and the costs in the first year following the offence.  Many of this cohort went on to commit further offences in the years 2001 to 2008.  On average, the cost to the criminal justice system of the cohort during this period was approximately £8,000 per year (2008/09 prices).  See page 25 of the NAO report for further details.</t>
  </si>
  <si>
    <t>Hospital outpatients - average cost per outpatient attendance</t>
  </si>
  <si>
    <t>Alcohol Services, Adult, Admitted Patient</t>
  </si>
  <si>
    <t>Clinical Commissioning Group</t>
  </si>
  <si>
    <t>Alcohol Services, Adult, Outpatient Attendances</t>
  </si>
  <si>
    <t>Alcohol Services, Adult, Community Contacts</t>
  </si>
  <si>
    <t>Per contact</t>
  </si>
  <si>
    <t>Alcohol Services, Children and Adolescents, Community Contacts</t>
  </si>
  <si>
    <t>Drug Services, Adult, Admitted Patient</t>
  </si>
  <si>
    <t>Drug Services, Adult, Outpatient Attendances</t>
  </si>
  <si>
    <t>Drug Services, Adult, Community Contacts</t>
  </si>
  <si>
    <t>HE7.1</t>
  </si>
  <si>
    <t>HE8.1</t>
  </si>
  <si>
    <t>HE8.2</t>
  </si>
  <si>
    <t>AMBULANCE</t>
  </si>
  <si>
    <t>HE10.3</t>
  </si>
  <si>
    <t>HE3.0.1</t>
  </si>
  <si>
    <t>HE3.0.2</t>
  </si>
  <si>
    <t>THERAPY</t>
  </si>
  <si>
    <t>SS18.0</t>
  </si>
  <si>
    <t>HE8.3</t>
  </si>
  <si>
    <t>HE10.4</t>
  </si>
  <si>
    <t>HE10.5</t>
  </si>
  <si>
    <t>HE10.6</t>
  </si>
  <si>
    <t>Average cost of service provision for adults suffering from any type of mental health disorder, including dementia, per person per year - fiscal and economic costs</t>
  </si>
  <si>
    <t>Average cost of service provision for adults suffering from any type of mental health disorder, excluding dementia, per person per year - fiscal and economic costs</t>
  </si>
  <si>
    <t>Average cost of service provision for adults suffering from depression, per person per year - fiscal and economic costs</t>
  </si>
  <si>
    <t>Average cost of service provision for adults suffering from anxiety disorders, per person per year - fiscal and economic costs</t>
  </si>
  <si>
    <t>Average cost of service provision for adults suffering from schizophrenic disorders, per person per year - fiscal and economic costs</t>
  </si>
  <si>
    <t>Average cost of service provision for adults suffering from bipolar disorder and related conditions, per person per year - fiscal and economic costs</t>
  </si>
  <si>
    <t>Average cost of service provision for adults suffering from eating disorders, per person per year - fiscal and economic costs</t>
  </si>
  <si>
    <t>Average cost of service provision for adults suffering from personality disorder, per person per year - fiscal and economic costs</t>
  </si>
  <si>
    <t>Average cost of service provision for people suffering from dementia, per person per year - fiscal and economic costs</t>
  </si>
  <si>
    <t>Average cost of service provision for people suffering from mental health disorders, per person per year, including dementia (all ages, including children, adolescents and adults) - fiscal and economic costs</t>
  </si>
  <si>
    <t>Average cost of service provision for people suffering from mental health disorders, per person per year, excluding dementia (all ages, including children, adolescents and adults) - fiscal and economic costs</t>
  </si>
  <si>
    <t>HE19.1</t>
  </si>
  <si>
    <t>HE20.2</t>
  </si>
  <si>
    <t>HE20.3</t>
  </si>
  <si>
    <t>HE20.4</t>
  </si>
  <si>
    <t>HE20.5</t>
  </si>
  <si>
    <t>QUALIFICATIONS/ SKILLS</t>
  </si>
  <si>
    <t>DfE Section 251 data on LAC cost and 903 return data on number of LAC</t>
  </si>
  <si>
    <t>These are the average fiscal, economic and social costs per incident of crime for homicide.  The economic value falling to individuals (and/or businesses) includes increased insurance costs and loss of property.  The social value is based upon the physical and emotional impact on direct victims of crime.</t>
  </si>
  <si>
    <r>
      <rPr>
        <b/>
        <sz val="14"/>
        <color indexed="8"/>
        <rFont val="Arial"/>
        <family val="2"/>
      </rPr>
      <t>1. Headline costs</t>
    </r>
    <r>
      <rPr>
        <sz val="14"/>
        <color indexed="8"/>
        <rFont val="Arial"/>
        <family val="2"/>
      </rPr>
      <t xml:space="preserve"> (initial columns highlighted in bold) - these are key cost lines for the main sub-themes in each worksheet, most of which are underpinned by subsidiary and/or constituent costs (see below).  When first opening up the database, the initial view should be the headline costs alone (you can return to this view at any time by clicking the '1' box towards the top left corner of the worksheet).</t>
    </r>
  </si>
  <si>
    <t>The costs are broken down into three types of values (columns H to P).  These are:</t>
  </si>
  <si>
    <r>
      <t>Unit cost of custody served in prison (</t>
    </r>
    <r>
      <rPr>
        <u/>
        <sz val="10"/>
        <color indexed="8"/>
        <rFont val="Arial"/>
        <family val="2"/>
      </rPr>
      <t>over 18</t>
    </r>
    <r>
      <rPr>
        <sz val="10"/>
        <color indexed="8"/>
        <rFont val="Arial"/>
        <family val="2"/>
      </rPr>
      <t xml:space="preserve">)
(per person per month served in prison)
</t>
    </r>
  </si>
  <si>
    <t>This is the cost per CBT session delivered by/within a CAMHS team setting.  Related values are given in the Unit Costs of Health &amp; Social Care 2013 (PSSRU, 2013) for the labour cost per hour (per team member), at £50, and the labour cost per hour for face-to-face contact, at £99 (2012-13 prices; see p.52 in the 2013 edition).  Costs are derived from salary costs (including on-costs such as national insurance and pension contributions), plus an element to account for a proportion of overheads (management, admin, travel, telephone, supplies and services, utilities, etc.) and capital costs.  Note that the 2013 Unit Costs publication also quotes a range of CBT costs for different types of CBT intervention, patient group and therapist (see p.18).</t>
  </si>
  <si>
    <t>NHS community mental health team (CMHT) for older people with mental health problems, cost per hour per team member</t>
  </si>
  <si>
    <t>NHS community mental health team (CMHT) for adults with mental health problems, cost per hour per team member</t>
  </si>
  <si>
    <t>Assertive outreach team for adults with mental health problems, cost per hour per team member</t>
  </si>
  <si>
    <t>Early intervention team for young adults and adolescents with mental health problems, cost per hour per team member</t>
  </si>
  <si>
    <t>Crisis resolution team for adults with mental health problems, cost per hour per team member</t>
  </si>
  <si>
    <t>Occupational therapy, hospital-based - cost per outpatient attendance</t>
  </si>
  <si>
    <t>This is the average cost for a GP per telephone consultation lasting an average 7.1 minutes; it includes costs relating to direct care staff (practice nurses).  The source quotes the same cost including qualification costs, at £28 per consultation (all costs quoted in this cell are given at 2013-14 prices).  Data are also quoted excluding direct care staff costs: the average cost for a 7.1 minute telephone consultation becomes £21 (£25 including qualification costs).  The costs are derived from practice salary costs, including administrative and clerical staff (and including on-costs such as national insurance and pension contributions), premises costs and business overheads, and training and capital costs.  All costs are clearly presented in a summary table on p.195 of the source document, with related data and commentary on pp.194 and 196.</t>
  </si>
  <si>
    <t>Conduct disorders are the most common childhood psychiatric disorders (affecting 4.9% of UK children aged 5–10 years), and lead to significant longer-term costs relating to adverse outcomes such as delinquency and criminality (the condition leads on to adulthood anti-social personality disorder in about 50% of cases).  This measure represents the fiscal savings to public sector agencies derived from the delivery of parenting programmes for parents of five-year old children with conduct disorder - it is the average savings per child over a 25 year period, to age 30; the research assumes that, for parents completing programmes, 33% of children improve to ‘no problems' and 5% to 'moderate conduct problems', but behaviour changes are not sustained beyond one year for 50% of children who initially improve.  The source gives a breakdown of potential savings over the 25 year period, providing the following costs at different stages: age 6 (savings over the first year following delivery of the parenting programme), £324; age 7-16 (savings for years 2-11 after programme delivery), £2,493 (averaging out at £249 per year over the ten year period); age 17-30 (savings for years 12-25 after programme delivery), £551 (£39 per year over the 14 year period).  Constituent costs for the individual agencies are given in the cost lines below.  As shown in the related headline and subsidiary measures above, the median cost of an 8-12 week group-based parenting programme is £952 per family, and £2,078 for an individually-based programme, with the average for both estimated at £1,177 per family - put alongside these potential savings, it is evident that such programmes can offer good value for money, although the break-even point is estimated at an average eight years post-intervention.  Note that the research did not model further fiscal benefits from reduced adult mental health issues and improved outcomes for the child’s family and peers, which would increase the cost-effectiveness of parenting interventions aimed at addressing conduct disorder.  
In addition to the fiscal benefits, the source quotes economic benefits over 25 years to non-public sector bodies/individuals as follows, comprising: victim costs (crime), £4,171; lost output (crime), £1,227; other crime costs, £506; voluntary sector, £15 (see p.7 of the source report for details of how these costs are distributed over the 25 years period).</t>
  </si>
  <si>
    <t>This cost is derived from data on social services expenditure alongside data on social services activity.  Note that there can be local variance in the way that PSSEx returns made by local authorities (adult social services) to the Health and Social Care Information Centre (HSCIC) are completed, hence the 'amber' flag for this cost line - local authorities can experience difficulty in attributing expenditure to the correct categories (e.g. differentiating between 'own provision' and 'provision by others', or between nursing and residential care placements).  Users are advised to seek feedback from local authority finance personnel to assess the extent to which the unit cost given compares with local experience, and are recommended to derive a specific local cost where possible.
More affluent individuals will pay for some/all of their day care / day services costs - this element represents an economic cost to the individual, with the fiscal value representing the costs falling to the local authority.  As with residential / nursing care, we have allocated two-thirds of home care costs as a fiscal cost falling to local authorities, and the remaining third as an economic cost falling to individual self-funders (see SS7.0 for more detail on how this split is derived).</t>
  </si>
  <si>
    <t>Total savings from the delivery of parenting programmes for parents of children aged five with conduct disorder, per child over a 25 year period (to age 30)</t>
  </si>
  <si>
    <t>Fiscal savings to the education sector from the delivery of parenting programmes for parents of children aged five with conduct disorder, per child over a 25 year period (to age 30)</t>
  </si>
  <si>
    <t>Schools</t>
  </si>
  <si>
    <t>This is a constituent measure to the above headline entry, and represents the fiscal savings to the education sector (Department for Education/schools) derived from the delivery of parenting programmes for parents of five-year old children with conduct disorder - it is the average savings per child over a 25 year period, to age 30.  The source gives a breakdown of potential savings over the 25 year period, providing the following costs at different stages: age 6 (savings to the education sector over the first year following delivery of the parenting programme), £132; age 7-16 (savings for years 2-11 after programme delivery), £304 (averaging out at £30 per year over the ten year period); age 17-30 (savings for years 12-25 after programme delivery), £0.  Further detail is given in the comments cell for the related headline cost above.</t>
  </si>
  <si>
    <t>Fiscal savings to social services from the delivery of parenting programmes for parents of children aged five with conduct disorder, per child over a 25 year period (to age 30)</t>
  </si>
  <si>
    <t>SS13.0</t>
  </si>
  <si>
    <t>Average gross weekly cost of day care or day services for older people, England</t>
  </si>
  <si>
    <t>SS13.1</t>
  </si>
  <si>
    <t>Average gross weekly cost of day care or day services for adults and older people, England</t>
  </si>
  <si>
    <t>SS13.2</t>
  </si>
  <si>
    <t>SS14.0</t>
  </si>
  <si>
    <t>SS15.0</t>
  </si>
  <si>
    <t>SS15.1</t>
  </si>
  <si>
    <t>SS15.2</t>
  </si>
  <si>
    <t>SS15.3</t>
  </si>
  <si>
    <t>SS16.0</t>
  </si>
  <si>
    <t>Parenting Programme - median cost of delivering a group-based parenting programme (per participant)</t>
  </si>
  <si>
    <t>This cost is a median value for a parenting programme delivered on an group rather than individual basis.  It is derived from five evidence-based and commonly used programmes that fed into the research, and includes staff costs, overheads (capital, managerial and administrative), materials and additional items such as catering and childcare as well as the costs of training and supervision (no breakdown of constituent costs was available).  The range of costs was broad (hence use of the median), varying from £282 to £1,486.  A related cost for individually-based programme delivery is given below.  The source comments that some 80% of parenting programmes can be delivered in a group format, and calculates a weighted median cost of £1,177 per parenting programme, based on 80% group and 20% individual provision.  Note that the 'cost owner' will be dependent on who is paying for the course, and not necessarily who is delivering it.</t>
  </si>
  <si>
    <t>Parenting Programme - median cost of delivering an individually-based parenting programme (per participant)</t>
  </si>
  <si>
    <t>This cost is a median value for a parenting programme delivered on an individual rather than group basis.  It is derived from five evidence-based and commonly used programmes that fed into the research, and includes staff costs, overheads (capital, managerial and administrative), materials and additional items such as catering and childcare as well as the costs of training and supervision (no breakdown of constituent costs was available).  The range of costs was broad (hence use of the median), varying from £769 to £5,642.  A related cost for group-based programme delivery is given above.  The source comments that some 80% of parenting programmes can be delivered in a group format, and calculates a weighted median cost of £1,177 per parenting programme, based on 80% group and 20% individual provision.  Note that the 'cost owner' will be dependent on who is paying for the course, and not necessarily who is delivering it.</t>
  </si>
  <si>
    <t>SS1.1.3</t>
  </si>
  <si>
    <t>Average cost of service provision for people suffering from mental health disorders, per person per year, excluding dementia (all ages, including children, adolescents and adults) - fiscal cost to the local authority</t>
  </si>
  <si>
    <t>Average cost of service provision for people suffering from mental health disorders, per person per year, excluding dementia (all ages, including children, adolescents and adults) - fiscal cost to the NHS</t>
  </si>
  <si>
    <t>Average cost of service provision for people suffering from mental health disorders, per person per year, excluding dementia (all ages, including children, adolescents and adults) - fiscal cost to the criminal justice system</t>
  </si>
  <si>
    <t>Scuffham et al (2003) Incidence and Costs of Unintentional Falls in Older People in the United Kingdom</t>
  </si>
  <si>
    <t>Accidental falls - average inpatient costs for hospital admissions due to injuries from a fall on the same level (i.e. a slip, trip or stumble), people over 60</t>
  </si>
  <si>
    <t>Accidental falls - average inpatient costs for hospital admissions due to injuries from a fall (any type), people over 60</t>
  </si>
  <si>
    <t>Accidental falls - average inpatient costs for hospital admissions due to injuries from a fall on or from stairs or steps, people over 60</t>
  </si>
  <si>
    <t>Accidental falls - average inpatient costs for hospital admissions due to injuries from a fall from one level to another, people over 60</t>
  </si>
  <si>
    <t>This is a constituent measure to the above headline entry, and represents the fiscal savings to local authority social services derived from the delivery of parenting programmes for parents of five-year old children with conduct disorder - it is the average savings per child over a 25 year period, to age 30.  The source gives a breakdown of potential savings over the 25 year period, providing the following costs at different stages: age 6 (savings to social services over the first year following delivery of the parenting programme), £24; age 7-16 (savings for years 2-11 after programme delivery), £29 (averaging out at £3 per year over the ten year period); age 17-30 (savings for years 12-25 after programme delivery), £14 (£1 per year over the 14 year period).  Further detail is given in the comments cell for the related headline cost above.</t>
  </si>
  <si>
    <t>Per child over a ten year period</t>
  </si>
  <si>
    <t>Mental Health Promotion and Mental Illness Prevention: the economic case (Knapp et al, 2011), p.9-10</t>
  </si>
  <si>
    <t>Average cost of service provision for children/ adolescents suffering from mental health disorders, per person per year - total fiscal cost (to the NHS)</t>
  </si>
  <si>
    <t>Paying the Price: the cost of mental health care in England to 2026 (King's Fund, 2008), p.118 and 104-109</t>
  </si>
  <si>
    <t>Ambulance services - average cost of call out, per incident</t>
  </si>
  <si>
    <t>Ambulance services - average cost of call out: seeing, treating and conveying patients, per incident</t>
  </si>
  <si>
    <t>Ambulance services - average cost of call out: seeing and treating or referring patients, per incident</t>
  </si>
  <si>
    <t>Ambulance services - average cost of 999 calls to ambulance services (but no further action taken, and ambulance not sent out), per incident</t>
  </si>
  <si>
    <t>Ambulance services - average cost of 999 calls to ambulance services, with treatment advice or onward referral provided (but ambulance not sent out), per incident</t>
  </si>
  <si>
    <t>Chronic Obstructive Pulmonary Disorder (COPD) - average cost per episode</t>
  </si>
  <si>
    <t>Drug Treatment Outcomes Research Study (DTORS) (Home Office, 2009), p.13</t>
  </si>
  <si>
    <t>Methadone maintenance - cost of maintaining a drug-misuser on a methadone treatment programme</t>
  </si>
  <si>
    <t>This is the average annual cost to the NHS of delivering structured community drug treatment, per client receiving effective treatment.  Effective treatment is defined as remaining in treatment for at least 12 weeks, or exiting prior to this in a care-planned way; the average length of continuous treatment contact is two years.  The cost is sourced from the 2012 National Treatment Agency publication, 'Estimating the crime reduction benefits of drug treatment and recovery', and relates to an 'average' client, regardless of drug type and nature of misuse.  Also see related measures within this database for the average annual savings to the criminal justice system and NHS from reduced drug-related offending by people in receipt of effective treatment.</t>
  </si>
  <si>
    <t>Victim services</t>
  </si>
  <si>
    <t>Estimating the crime reduction benefits of drug treatment and recovery (National Treatment Agency for Substance Misuse, 2012), p.17</t>
  </si>
  <si>
    <t>Drugs misuse - average long-term fiscal savings to the criminal justice system and victim services from reduced drug-related offending following receipt of effective treatment, per person</t>
  </si>
  <si>
    <t>Drugs misuse - average long-term fiscal savings to the NHS from reduced drug-related offending following receipt of effective treatment, per person (cost refers to the reduced physical harm perpetrated on victims due to fewer robberies)</t>
  </si>
  <si>
    <t>Drugs misuse - average long-term savings from reduced drug-related offending following receipt of effective treatment, per person sustaining recovery</t>
  </si>
  <si>
    <t xml:space="preserve">Paying the Price: the cost of mental health care in England to 2026 (King's Fund, 2008), p.118, 25, 40, 59, 74, 96, 104-109 and 114 </t>
  </si>
  <si>
    <t>Average cost of service provision for people suffering from mental health disorders, per person per year, including dementia (all ages, including children, adolescents and adults) - fiscal cost to the NHS</t>
  </si>
  <si>
    <t>Average cost of service provision for people suffering from mental health disorders, per person per year, including dementia (all ages, including children, adolescents and adults) - fiscal cost to the criminal justice system</t>
  </si>
  <si>
    <t>Average cost of service provision for people suffering from mental health disorders, per person per year, including dementia (all ages, including children, adolescents and adults) - fiscal cost to the local authority</t>
  </si>
  <si>
    <r>
      <t xml:space="preserve">Criminal proceedings: 
</t>
    </r>
    <r>
      <rPr>
        <u/>
        <sz val="10"/>
        <color indexed="8"/>
        <rFont val="Arial"/>
        <family val="2"/>
      </rPr>
      <t>Arrest</t>
    </r>
    <r>
      <rPr>
        <sz val="10"/>
        <color indexed="8"/>
        <rFont val="Arial"/>
        <family val="2"/>
      </rPr>
      <t xml:space="preserve"> - with no further action 
(simple caution)</t>
    </r>
  </si>
  <si>
    <t>Cardiovascular disease (CVD) - average cost of hospital admission for TIA (mini stroke) needing a surgical procedure</t>
  </si>
  <si>
    <t>Cardiovascular disease (CVD) - average cost of hospital admission for stroke needing a surgical procedure</t>
  </si>
  <si>
    <t>SS1.4.1</t>
  </si>
  <si>
    <t>SS1.4.2</t>
  </si>
  <si>
    <t>This is a constituent measure to the above headline entry, and represents the fiscal savings to local authority social services derived from the delivery of school-based emotional learning programmes (SEL) for children with conduct problems - it is the average savings per child over a ten year period.  The source gives a breakdown of potential savings over the ten years, providing the following costs at different stages: year 1 (savings over the first year following delivery of the SEL programme), £4; year 5 (savings for years 1-5 after programme delivery), £13; year 10 (savings for years 1-10 after programme delivery), £23 (all at 2009-10 prices).  The average annual saving to the criminal justice system over the ten year period is £2.  Further detail is given in the comments cell for the related headline cost above.</t>
  </si>
  <si>
    <t>Cognitive behaviour therapy - average cost of a course of six face-to-face CBT sessions, per participant</t>
  </si>
  <si>
    <t>Cognitive behaviour therapy within Child and Adolescent Mental Health Service (CAMHS) teams - cost per session</t>
  </si>
  <si>
    <t>Mental health specialist teams - average cost per contact</t>
  </si>
  <si>
    <t>ALCOHOL</t>
  </si>
  <si>
    <t>DRUGS</t>
  </si>
  <si>
    <t>A&amp;E attendance - no investigation and no significant treatment</t>
  </si>
  <si>
    <t>A&amp;E attendance - no investigation and no significant treatment, leading to admission</t>
  </si>
  <si>
    <t>A&amp;E attendance - no investigation and no significant treatment, not leading to admission</t>
  </si>
  <si>
    <t>Paying the Price: the cost of mental health care in England to 2026 (King's Fund, 2008), p.118, 25, 40, 59, 74, 96 and 104-109</t>
  </si>
  <si>
    <t>Hip fracture - health service costs per incident</t>
  </si>
  <si>
    <t>Hip fracture - social care costs per incident</t>
  </si>
  <si>
    <t xml:space="preserve">Hip fracture - health and social care costs per incident </t>
  </si>
  <si>
    <t>Per case per team member</t>
  </si>
  <si>
    <t>Criminal Justice System</t>
  </si>
  <si>
    <t>Each</t>
  </si>
  <si>
    <t>R</t>
  </si>
  <si>
    <t>Children's Services</t>
  </si>
  <si>
    <t>Per client</t>
  </si>
  <si>
    <t>A</t>
  </si>
  <si>
    <t>Per session</t>
  </si>
  <si>
    <t>G</t>
  </si>
  <si>
    <t>ANTI-SOCIAL BEHAVIOUR</t>
  </si>
  <si>
    <t>Per visit</t>
  </si>
  <si>
    <t>BENEFITS</t>
  </si>
  <si>
    <t>Per event</t>
  </si>
  <si>
    <t>Per episode</t>
  </si>
  <si>
    <t>Housing Services</t>
  </si>
  <si>
    <t>Per hour</t>
  </si>
  <si>
    <t>NHS</t>
  </si>
  <si>
    <t>Per day</t>
  </si>
  <si>
    <t>Per week</t>
  </si>
  <si>
    <t>Per month</t>
  </si>
  <si>
    <t>Per school academic year</t>
  </si>
  <si>
    <t>Per year</t>
  </si>
  <si>
    <t>Youth Offending Team</t>
  </si>
  <si>
    <t>PROPERTY &amp; VEHICLE CRIME</t>
  </si>
  <si>
    <t>Per incident</t>
  </si>
  <si>
    <t>YOUTH OFFENDING</t>
  </si>
  <si>
    <t>Per plan</t>
  </si>
  <si>
    <t>Per customer</t>
  </si>
  <si>
    <t>Per claim</t>
  </si>
  <si>
    <t>Original source</t>
  </si>
  <si>
    <t>Unit</t>
  </si>
  <si>
    <t>CRIME</t>
  </si>
  <si>
    <t>DOMESTIC VIOLENCE</t>
  </si>
  <si>
    <t>HOUSING</t>
  </si>
  <si>
    <t>Year</t>
  </si>
  <si>
    <t>1995/96</t>
  </si>
  <si>
    <t>1996/97</t>
  </si>
  <si>
    <t>1997/98</t>
  </si>
  <si>
    <t>1998/99</t>
  </si>
  <si>
    <t>2001/02</t>
  </si>
  <si>
    <t>2000/01</t>
  </si>
  <si>
    <t>1999/00</t>
  </si>
  <si>
    <t>2002/03</t>
  </si>
  <si>
    <t>2003/04</t>
  </si>
  <si>
    <t>2004/05</t>
  </si>
  <si>
    <t>2005/06</t>
  </si>
  <si>
    <t>2006/07</t>
  </si>
  <si>
    <t>2007/08</t>
  </si>
  <si>
    <t>2008/09</t>
  </si>
  <si>
    <t>2009/10</t>
  </si>
  <si>
    <t>2010/11</t>
  </si>
  <si>
    <t>2011/12</t>
  </si>
  <si>
    <t>HM Treasury</t>
  </si>
  <si>
    <t>Probation</t>
  </si>
  <si>
    <t>Youth Unemployment: the crisis we cannot afford (ACEVO Commission on Youth Unemployment, 2012)</t>
  </si>
  <si>
    <t>Prison</t>
  </si>
  <si>
    <t>Young Offenders Institute</t>
  </si>
  <si>
    <t>Level 1</t>
  </si>
  <si>
    <t>Level 2</t>
  </si>
  <si>
    <t>Prison / Young Offenders Institute</t>
  </si>
  <si>
    <t>Fire Service</t>
  </si>
  <si>
    <t>Acute Trust / Hospital</t>
  </si>
  <si>
    <t>Mental Health Trust</t>
  </si>
  <si>
    <t>Community Health Provider</t>
  </si>
  <si>
    <t>Local Authority</t>
  </si>
  <si>
    <t>RSL</t>
  </si>
  <si>
    <t>Society / Economic</t>
  </si>
  <si>
    <t>VCS</t>
  </si>
  <si>
    <t>DWP</t>
  </si>
  <si>
    <t>Educational Establishment</t>
  </si>
  <si>
    <t>-</t>
  </si>
  <si>
    <t>School</t>
  </si>
  <si>
    <t>College</t>
  </si>
  <si>
    <t>HEALTH</t>
  </si>
  <si>
    <t>ADULTS</t>
  </si>
  <si>
    <t>THEFT</t>
  </si>
  <si>
    <t>VIOLENCE</t>
  </si>
  <si>
    <t>VANDALISM</t>
  </si>
  <si>
    <t>PROCEEDINGS</t>
  </si>
  <si>
    <t>EMPLOYMENT</t>
  </si>
  <si>
    <t>FIRE</t>
  </si>
  <si>
    <t>TRUANCY</t>
  </si>
  <si>
    <t>BUILDINGS</t>
  </si>
  <si>
    <t>NON-BUILDINGS</t>
  </si>
  <si>
    <t>MENTAL HEALTH</t>
  </si>
  <si>
    <t>HOSPITAL</t>
  </si>
  <si>
    <t>GP / NURSE</t>
  </si>
  <si>
    <t>OTHER SERVICES</t>
  </si>
  <si>
    <t>SOCIAL SERVICES</t>
  </si>
  <si>
    <t>CHILDREN</t>
  </si>
  <si>
    <t>COMMUNITY HEALTH PROVISION</t>
  </si>
  <si>
    <t>ADAPTATIONS</t>
  </si>
  <si>
    <t>PROGRAMMES</t>
  </si>
  <si>
    <t>CASE MANAGEMENT</t>
  </si>
  <si>
    <t>TAX</t>
  </si>
  <si>
    <t>OFFENDING</t>
  </si>
  <si>
    <t>SMOKING</t>
  </si>
  <si>
    <t>Multiple</t>
  </si>
  <si>
    <t>DENTAL</t>
  </si>
  <si>
    <t>None-face to face contact</t>
  </si>
  <si>
    <t>Outcome category</t>
  </si>
  <si>
    <t>Outcome detail</t>
  </si>
  <si>
    <t>Cost / saving detail</t>
  </si>
  <si>
    <t>Estimated cost/saving</t>
  </si>
  <si>
    <t>Current Year</t>
  </si>
  <si>
    <t>1992/93</t>
  </si>
  <si>
    <t>1993/94</t>
  </si>
  <si>
    <t>1994/95</t>
  </si>
  <si>
    <t>2012/13</t>
  </si>
  <si>
    <t>2013/14</t>
  </si>
  <si>
    <t>2014/15</t>
  </si>
  <si>
    <t>2015/16</t>
  </si>
  <si>
    <t>2016/17</t>
  </si>
  <si>
    <t>2017/18</t>
  </si>
  <si>
    <t>2018/19</t>
  </si>
  <si>
    <t>2019/20</t>
  </si>
  <si>
    <t>f</t>
  </si>
  <si>
    <t>Lifetime</t>
  </si>
  <si>
    <t>YOUNG PEOPLE</t>
  </si>
  <si>
    <t>Court</t>
  </si>
  <si>
    <t>Asthma - average cost per episode</t>
  </si>
  <si>
    <t>Average cost of service provision for adults suffering from schizophrenic disorders, per person per year - fiscal cost to the criminal justice system</t>
  </si>
  <si>
    <t>Paying the Price: the cost of mental health care in England to 2026 (King's Fund, 2008), p.118 and 74</t>
  </si>
  <si>
    <t>Average cost of service provision for adults suffering from bipolar disorder and related conditions, per person per year - fiscal cost to the NHS</t>
  </si>
  <si>
    <t>Average cost of service provision for adults suffering from bipolar disorder and related conditions, per person per year - fiscal cost to the local authority</t>
  </si>
  <si>
    <t>Paying the Price: the cost of mental health care in England to 2026 (King's Fund, 2008), p.118 and 84-87</t>
  </si>
  <si>
    <t>Paying the Price: the cost of mental health care in England to 2026 (King's Fund, 2008), p.118 and 96</t>
  </si>
  <si>
    <t>Paying the Price: the cost of mental health care in England to 2026 (King's Fund, 2008), p.118 and 114</t>
  </si>
  <si>
    <t>Accidental falls - average inpatient costs for hospital admissions due to injuries from an unspecified fall, people over 60</t>
  </si>
  <si>
    <t>A&amp;E attendance (all scenarios)</t>
  </si>
  <si>
    <t>A&amp;E attendance - all scenarios, leading to admission</t>
  </si>
  <si>
    <t>Lung cancer - average cost of emergency inpatient activity for lung cancer patients</t>
  </si>
  <si>
    <t>Per admission</t>
  </si>
  <si>
    <t>Hospital outpatients - average cost per outpatient procedure</t>
  </si>
  <si>
    <t>Hospital day care - average cost per regular attendance at hospital day care facilities</t>
  </si>
  <si>
    <t xml:space="preserve">Paying the Price: the cost of mental health care in England to 2026 (King's Fund, 2008), p.118 </t>
  </si>
  <si>
    <t>Average cost of service provision for adults suffering from depression and/or anxiety disorders, per person per year - fiscal cost to the NHS</t>
  </si>
  <si>
    <t>Average cost of service provision for adults suffering from depression and/or anxiety disorders, per person per year - fiscal cost to the local authority</t>
  </si>
  <si>
    <t>Paying the Price: the cost of mental health care in England to 2026 (King's Fund, 2008), p.118, 25 and 40</t>
  </si>
  <si>
    <t>A constituent cost to the above cost line, the average consequence cost of fire, giving the average cost to the Criminal Justice System per fire (a fiscal cost).  Note that this is an average cost calculated across all fires, not just deliberate fires; as such, it should not be used as a unit cost for Criminal Justice System activity relating specifically to deliberate fires.  This is an average cost for England; the source also gives averages for the nine English regions.</t>
  </si>
  <si>
    <t>Average costs to the police service per fire</t>
  </si>
  <si>
    <t>A constituent cost to the above cost line, the average consequence cost of fire, giving the average cost to the police service per fire (a fiscal cost).  Note that this is an average cost calculated across all fires, not just deliberate fires; as such, it should not be used as a unit cost for police service activity relating specifically to deliberate fires.  This is an average cost for England; the source also gives averages for the nine English regions.</t>
  </si>
  <si>
    <t>Average costs to the prison service per fire</t>
  </si>
  <si>
    <t>A constituent cost to the above cost line, the average consequence cost of fire, giving the average cost to the prison service per fire (a fiscal cost).  Note that this is an average cost calculated across all fires, not just deliberate fires; as such, it should not be used as a unit cost for prison service activity relating specifically to deliberate fires.  This is an average cost for England; the source also gives averages for the nine English regions.</t>
  </si>
  <si>
    <t>Average cost of non-detected arson per fire</t>
  </si>
  <si>
    <t>A constituent cost to the above cost line, the average consequence cost of fire, giving the average cost of non-detected arson per fire.  Note that this is an average cost calculated across all fires, not just deliberate fires; as such, it should not be used as a unit cost for non-detected arson, as this should be derived from data relating specifically to deliberate fires.  This is an average cost for England; the source also gives averages for the nine English regions.</t>
  </si>
  <si>
    <t>Average response cost per fire</t>
  </si>
  <si>
    <t>Average response cost for arson</t>
  </si>
  <si>
    <t>The economic cost of fire: estimates for 2008 - Fire Research Report 3/2011 (Department for Communities and Local Government, 2011), p.24</t>
  </si>
  <si>
    <t>Average cost to Crown Prosecution Service and forensic unit per deliberate fire</t>
  </si>
  <si>
    <t>Courts</t>
  </si>
  <si>
    <t>The economic cost of fire: estimates for 2008 - Fire Research Report 3/2011 (Department for Communities and Local Government, 2011), p.30</t>
  </si>
  <si>
    <t>No detail is given in the source over how this cost has been derived.</t>
  </si>
  <si>
    <t>Average cost of a fire in a domestic building</t>
  </si>
  <si>
    <t>The economic cost of fire: estimates for 2008 - Fire Research Report 3/2011 (Department for Communities and Local Government, 2011), p.19</t>
  </si>
  <si>
    <t>No breakdown is given over how the cost is derived, although it comprises both costs as a consequence of fire and costs in response to fire; it includes the average cost of arson.  Costs in anticipation of fire are not included (e.g. the cost of installing fire protection in buildings).  Note that costs as a consequence of fire will include economic and social costs as well as fiscal.  This is an average cost for England; the source also gives averages for the nine English regions.</t>
  </si>
  <si>
    <t>Average cost of a fire in a commercial building</t>
  </si>
  <si>
    <t>Average cost of a fire in a public sector building</t>
  </si>
  <si>
    <t>Average cost of a non-buildings fire</t>
  </si>
  <si>
    <t>Non-building fires refer to other outdoor structures including post boxes, tunnels, bridges.  No breakdown is given over how the cost is derived, although it comprises both costs as a consequence of fire and costs in response to fire; it includes the average cost of arson.  Costs in anticipation of fire are not included; nor are costs related to property damage.  Note that costs as a consequence of fire will include economic and social costs as well as fiscal.  This is an average cost for England; the source also gives averages for the nine English regions.</t>
  </si>
  <si>
    <t>Average fire safety labour cost per hour</t>
  </si>
  <si>
    <t xml:space="preserve">Paying the Price: the cost of mental health care in England to 2026 (King's Fund, 2008), p.118, 25 and 40 </t>
  </si>
  <si>
    <t xml:space="preserve">Paying the Price: the cost of mental health care in England to 2026 (King's Fund, 2008), p.118, 25, 40, 59, 74, 96 and 114 </t>
  </si>
  <si>
    <t>Average cost of service provision for adults suffering from any type of mental health disorder, including dementia, per person per year - fiscal cost to the NHS</t>
  </si>
  <si>
    <t>Average cost of service provision for adults suffering from any type of mental health disorder, including dementia, per person per year - fiscal cost to the local authority</t>
  </si>
  <si>
    <t>Average cost of service provision for adults suffering from any type of mental health disorder, excluding dementia, per person per year - fiscal cost to the NHS</t>
  </si>
  <si>
    <t>Average cost of service provision for adults suffering from any type of mental health disorder, excluding dementia, per person per year - fiscal cost to the local authority</t>
  </si>
  <si>
    <t>Average cost of service provision for adults suffering from any type of mental health disorder, including dementia, per person per year - fiscal cost to the criminal justice system</t>
  </si>
  <si>
    <t>Average cost of service provision for adults suffering from any type of mental health disorder, excluding dementia, per person per year - fiscal cost to the criminal justice system</t>
  </si>
  <si>
    <t>Paying the Price: the cost of mental health care in England to 2026 (King's Fund, 2008), p.118, 25, 40, 59, 74 and 96</t>
  </si>
  <si>
    <t>Paying the Price: the cost of mental health care in England to 2026 (King's Fund, 2008), p.118 and 25</t>
  </si>
  <si>
    <t>Average cost of service provision for adults suffering from depression, per person per year - fiscal cost to the NHS</t>
  </si>
  <si>
    <t>Average cost of service provision for adults suffering from depression, per person per year - fiscal cost to the local authority</t>
  </si>
  <si>
    <t>Paying the Price: the cost of mental health care in England to 2026 (King's Fund, 2008), p.118 and 40</t>
  </si>
  <si>
    <t>Average cost of service provision for adults suffering from anxiety disorders, per person per year - fiscal cost to the NHS</t>
  </si>
  <si>
    <t>Average cost of service provision for adults suffering from anxiety disorders, per person per year - fiscal cost to the local authority</t>
  </si>
  <si>
    <t>Paying the Price: the cost of mental health care in England to 2026 (King's Fund, 2008), p.118 and 59</t>
  </si>
  <si>
    <t>Average cost of service provision for adults suffering from schizophrenic disorders, per person per year - fiscal cost to the NHS</t>
  </si>
  <si>
    <t>Average cost of service provision for adults suffering from schizophrenic disorders, per person per year - fiscal cost to the local authority</t>
  </si>
  <si>
    <t>SS5.0.1</t>
  </si>
  <si>
    <t>Extension of the cost calculator to include cost calculations for all children in need (DfE, 2010), p.7</t>
  </si>
  <si>
    <t>SS5.0.2</t>
  </si>
  <si>
    <t>SS5.0.3</t>
  </si>
  <si>
    <t>Fiscal savings to the criminal justice system from the delivery of school-based emotional learning programmes, per child over a 10 year period</t>
  </si>
  <si>
    <r>
      <t xml:space="preserve">Apprenticeship - Transport &amp; Logistics (Level 2) </t>
    </r>
    <r>
      <rPr>
        <sz val="10"/>
        <rFont val="Arial"/>
        <family val="2"/>
      </rPr>
      <t xml:space="preserve">
Trainee product/benefit (per annum)</t>
    </r>
  </si>
  <si>
    <r>
      <t xml:space="preserve">Apprenticeship - Financial Services (Level 2) </t>
    </r>
    <r>
      <rPr>
        <sz val="10"/>
        <rFont val="Arial"/>
        <family val="2"/>
      </rPr>
      <t xml:space="preserve">
Trainee product/benefit (per annum)</t>
    </r>
  </si>
  <si>
    <r>
      <t xml:space="preserve">Apprenticeship - Financial Services (Level 3) </t>
    </r>
    <r>
      <rPr>
        <sz val="10"/>
        <rFont val="Arial"/>
        <family val="2"/>
      </rPr>
      <t xml:space="preserve">
Trainee product/benefit (per annum)</t>
    </r>
  </si>
  <si>
    <r>
      <t xml:space="preserve">Apprenticeship - Business Admin (Level 2) </t>
    </r>
    <r>
      <rPr>
        <sz val="10"/>
        <rFont val="Arial"/>
        <family val="2"/>
      </rPr>
      <t xml:space="preserve">
Trainee product/benefit (per annum)</t>
    </r>
  </si>
  <si>
    <r>
      <t xml:space="preserve">Apprenticeship - Social Care (Level 2) </t>
    </r>
    <r>
      <rPr>
        <sz val="10"/>
        <rFont val="Arial"/>
        <family val="2"/>
      </rPr>
      <t xml:space="preserve">
Trainee product/benefit (per annum)</t>
    </r>
  </si>
  <si>
    <t>E&amp;E1.0</t>
  </si>
  <si>
    <t>This is a constituent measure to the above headline entry, and represents the fiscal savings to the criminal justice system derived from the delivery of parenting programmes for parents of five-year old children with conduct disorder - it is the average savings per child over a 25 year period, to age 30.  The source gives a breakdown of potential savings over the 25 year period, providing the following costs at different stages: age 6 (savings to the criminal justice system over the first year following delivery of the parenting programme), £0; age 7-16 (savings for years 2-11 after programme delivery), £1,247 (averaging out at £125 per year over the ten year period); age 17-30 (savings for years 12-25 after programme delivery), £340 (£24 per year over the 14 year period).  Further detail is given in the comments cell for the related headline cost above.</t>
  </si>
  <si>
    <t>Fiscal savings to the NHS from the delivery of parenting programmes for parents of children aged five with conduct disorder, per child over a 25 year period (to age 30)</t>
  </si>
  <si>
    <t>This is a constituent measure to the above headline entry, and represents the fiscal savings to the NHS derived from the delivery of parenting programmes for parents of five-year old children with conduct disorder - it is the average savings per child over a 25 year period, to age 30.  The source gives a breakdown of potential savings over the 25 year period, providing the following costs at different stages: age 6 (savings to the NHS over the first year following delivery of the parenting programme), £168; age 7-16 (savings for years 2-11 after programme delivery), £912 (averaging out at £91 per year over the ten year period); age 17-30 (savings for years 12-25 after programme delivery), £197 (£14 per year over the 14 year period).  Further detail is given in the comments cell for the related headline cost above.</t>
  </si>
  <si>
    <t>SS1.2.5</t>
  </si>
  <si>
    <t>Child taken into care (median cost, for children with emotional or behavioural difficulties) - cost of finding subsequent placement, for a specific care scenario</t>
  </si>
  <si>
    <t>SS1.3</t>
  </si>
  <si>
    <t>SS1.3.1</t>
  </si>
  <si>
    <t>SS1.3.2</t>
  </si>
  <si>
    <t>SS1.3.3</t>
  </si>
  <si>
    <t>SS1.4.6</t>
  </si>
  <si>
    <t>Child taken into care (very high cost, for children with disabilities, emotional or behavioural difficulties, and offending behaviour) - cost of transition to leaving care, for a specific care scenario</t>
  </si>
  <si>
    <t>Cardiovascular disease (CVD) - (weighted) average cost of hospital admission for a CVD event needing a surgical procedure</t>
  </si>
  <si>
    <t>Cardiovascular disease (CVD) - average cost of hospital admission for angina needing a surgical procedure, people aged over 69</t>
  </si>
  <si>
    <t>Cardiovascular disease (CVD) - average cost of hospital admission for angina needing a surgical procedure, people aged under 70</t>
  </si>
  <si>
    <t>Prevention of Cardiovascular Disease: Costing Report (NICE, 2010), p.21-22</t>
  </si>
  <si>
    <t>Cardiovascular disease (CVD) - average cost of hospital admission for heart attack (myocardial infarction) needing a surgical procedure, without complications</t>
  </si>
  <si>
    <t>Cardiovascular disease (CVD) - average cost of hospital admission for heart attack (myocardial infarction) needing a surgical procedure, with complications</t>
  </si>
  <si>
    <t>Per action</t>
  </si>
  <si>
    <t>Per property</t>
  </si>
  <si>
    <t>Per advice session</t>
  </si>
  <si>
    <t>Per order</t>
  </si>
  <si>
    <t>For two years</t>
  </si>
  <si>
    <t>This is the average cost of three types of psychological intervention used for people with mild alcohol dependence: cognitive behavioural therapies; behavioural therapies; and social network and environment-based therapies.  Costs are per course (the series of therapy sessions received by clients), based upon staff time per session and the average number of sessions received per therapy.</t>
  </si>
  <si>
    <t>Alcohol - average cost of psychological intervention for people with mild alcohol dependence</t>
  </si>
  <si>
    <t>Alcohol - average cost of pharmacological intervention and monitoring for people with moderate or severe alcohol dependence</t>
  </si>
  <si>
    <t>Alcohol - GP advice about alcohol (for individuals with increasing or high-risk drinking)</t>
  </si>
  <si>
    <t>Inpatient detoxification for people who misuse drugs or alcohol</t>
  </si>
  <si>
    <t>Residential rehabilitation for people who misuse drugs or alcohol</t>
  </si>
  <si>
    <t>Alcohol - universal GP screening and (if required) brief intervention for alcohol misuse</t>
  </si>
  <si>
    <t>This is the average cost of relapse prevention with a pharmacological intervention (acamprosate or oral naltrexone), along with the additional monitoring required when these drugs are prescribed.  Note that this cost is the additional cost of medication and monitoring, and assumes that patients also receive psychological intervention (see related cost line in this section).  The source also quotes the cost of relapse having received pharmacological intervention, at £1,800 (09-10 prices) - this is the cost used in this database as the headline measure for alcohol misuse, which gives the estimated annual cost to the NHS of alcohol dependency.</t>
  </si>
  <si>
    <t>Drugs misuse - annual savings in health and social care from delivery of a structured drug treatment programme</t>
  </si>
  <si>
    <t>Estimating the crime reduction benefits of drug treatment and recovery (National Treatment Agency for Substance Misuse, 2012), p.11</t>
  </si>
  <si>
    <t xml:space="preserve">Drugs misuse - average annual savings to the criminal justice system from reduced drug-related offending by people in receipt of effective treatment, per person </t>
  </si>
  <si>
    <t>Drugs misuse - average annual savings to the NHS from reduced drug-related offending by people in receipt of effective treatment, per person (cost refers to the reduced physical harm perpetrated on victims due to fewer robberies)</t>
  </si>
  <si>
    <t>Drug treatment - average annual cost of structured community drug treatment per person engaged in effective treatment</t>
  </si>
  <si>
    <t>Estimating the crime reduction benefits of drug treatment and recovery (National Treatment Agency for Substance Misuse, 2012), p.12</t>
  </si>
  <si>
    <t>This is a scenario-based cost for complex eviction, and includes the on-going cost of providing temporary accommodation in the private rented sector whilst the homelessness application was progressing; in this scenario, the cost is based upon two weeks of temporary accommodation.  Note that costs following on from a successful homelessness application are not included - in such instances, there may be additional costs relating to extended stay in temporary accommodation and a new letting being made (see related costs in this section).  The source focuses on the fiscal costs resulting directly from the loss of a home and the immediate period leading up to this point.  Indirect costs that may accrue to the state in the future are not included, such as increased healthcare costs.  It is worth noting that these will be fiscal costs if they relate to evictions from local authority housing stock; however, if the stock belongs to a housing association or other Registered Provider, the costs that fall to that organisation are likely to be economic rather than fiscal (i.e. they do not fall directly to the public purse).  Wider economic and social costs are excluded - e.g. economic costs to private companies, individuals and organisations, and social costs to individuals and society around personal well-being, social cohesion, etc.  Data for the study were sourced from government, the Chartered Institute of Public Finance Accountants,  Shelter's local authority benchmarking service, and contributing local authorities.  An amber flag has been allocated to reflect local level variation, and the significant methodological and data issues associated with deriving unit costs relating to housing.</t>
  </si>
  <si>
    <t>This is the average cost of rent arrears incurred by tenants in social housing at the point at which a possession hearing was heard, and which are therefore written off by the landlord.</t>
  </si>
  <si>
    <t>This is an average cost for hospital admissions that require surgical procedure and result from heart attack (myocardial infarction, MI), without complications, and is derived from Hospital Episode Statistics (HES) data.  It is a constituent cost to the subsidiary measure above, which gives a unit cost for hospital admission for cardiovascular disease (CVD) needing a surgical procedure, based on a weighted average of the cost of various CVD conditions including heart attack.</t>
  </si>
  <si>
    <t>This is an average cost for hospital admissions that require surgical procedure and result from heart attack (myocardial infarction, MI), with complications, and is derived from Hospital Episode Statistics (HES) data.  It is a constituent cost to the subsidiary measure above, which gives a unit cost for hospital admission for cardiovascular disease (CVD) needing a surgical procedure, based on a weighted average of the cost of various CVD conditions including heart attack.</t>
  </si>
  <si>
    <t>This is an average cost for hospital admissions that require surgical procedure and result from stroke, and is derived from Hospital Episode Statistics (HES) data.  It is a constituent cost to the subsidiary measure above, which gives a unit cost for hospital admission for cardiovascular disease (CVD) needing a surgical procedure, based on a weighted average of the cost of various CVD conditions including stroke.</t>
  </si>
  <si>
    <t>This is an average cost for hospital admissions that require surgical procedure and result from TIA (transient ischemic attack, also known as mini-stroke), and is derived from Hospital Episode Statistics (HES) data.  It is a constituent cost to the subsidiary measure above, which gives a unit cost for hospital admission for cardiovascular disease (CVD) needing a surgical procedure, based on a weighted average of the cost of various CVD conditions including TIA.</t>
  </si>
  <si>
    <t>Cardiovascular disease (CVD) - average annual cost of ongoing NHS care and rehabilitation programmes following a stroke</t>
  </si>
  <si>
    <t>Prevention of Cardiovascular Disease: Costing Report (NICE, 2010), p.24</t>
  </si>
  <si>
    <t>Cardiovascular disease (CVD) - average annual cost of ongoing NHS care and rehabilitation programmes following a heart attack (myocardial infarction)</t>
  </si>
  <si>
    <t>This is the estimated average cost of ongoing NHS care and rehabilitation programmes that may be required following a heart attack (myocardial infarction, MI).  Note that the source quotes an average cost of £1,905 per patient over 40 for a five year period following the heart attack, largely relating to longer-term primary care follow-up using structured consultations or cardiac prevention clinics; this cost has been divided by five to produce an annual figure.  Such costs vary significantly depending on the seriousness of the heart attack and subsequent individual needs - for this reason, an amber flag has been allocated.</t>
  </si>
  <si>
    <t>This is the estimated average cost of ongoing NHS care and rehabilitation programmes that may be required following a stroke.  Note that the source quotes an average cost of £18,300 per patient over 40 for a five year period following the stroke; this has been divided by five to produce an annual figure  Such costs vary significantly depending on the seriousness of the stroke and subsequent individual needs - for this reason, an amber flag has been allocated.</t>
  </si>
  <si>
    <t>CR3.1</t>
  </si>
  <si>
    <t>NAO Analysis, based on CIPFA, Home Office, Ministry of Justice and Youth Justice Board Data. Cited in NAO 2011 - The cost of a cohort of offenders to the criminal justice system p34 fig14</t>
  </si>
  <si>
    <t>CR3.2</t>
  </si>
  <si>
    <t>CR4.0</t>
  </si>
  <si>
    <t>CR4.1</t>
  </si>
  <si>
    <t>CR4.2</t>
  </si>
  <si>
    <t>CR5.0</t>
  </si>
  <si>
    <t xml:space="preserve">Unit cost of court event:
Violence against a person (over 18)
(per person per court event)
</t>
  </si>
  <si>
    <t>NAO Analysis, based on CIPFA, Home Office, Ministry of Justice and Youth Justice Board Data. Cited in NAO 2011 - The cost of a cohort of offenders to the criminal justice system  p18 fig 8</t>
  </si>
  <si>
    <t>CR5.1</t>
  </si>
  <si>
    <t xml:space="preserve">Unit cost of court event:
Sexual Offences (over 18)
(per person per court event)
</t>
  </si>
  <si>
    <t>CR5.2</t>
  </si>
  <si>
    <t xml:space="preserve">Unit cost of court event:
Burglary (over 18)
(per person per court event)
</t>
  </si>
  <si>
    <t>CR5.3</t>
  </si>
  <si>
    <t xml:space="preserve">Unit cost of court event:
Robbery (over 18)
(per person per court event)
</t>
  </si>
  <si>
    <t>CR5.4</t>
  </si>
  <si>
    <t xml:space="preserve">Unit cost of court event:
Theft and handling stolen goods (over 18)
(per person per court event)
</t>
  </si>
  <si>
    <t>CR5.5</t>
  </si>
  <si>
    <t xml:space="preserve">Unit cost of court event:
Fraud and Forgery (over 18)
(per person per court event)
</t>
  </si>
  <si>
    <t>CR5.6</t>
  </si>
  <si>
    <t xml:space="preserve">Unit cost of court event:
Criminal damage (over 18)
(per person per court event)
</t>
  </si>
  <si>
    <t>CR5.7</t>
  </si>
  <si>
    <t xml:space="preserve">Unit cost of court event:
Drug offences (over 18)
(per person per court event)
</t>
  </si>
  <si>
    <t>CR5.8</t>
  </si>
  <si>
    <t xml:space="preserve">Unit cost of court event:
Indictable motoring offences (over 18)
(per person per court event)
</t>
  </si>
  <si>
    <t>CR5.9</t>
  </si>
  <si>
    <t xml:space="preserve">Unit cost of court event:
Other indictable offences (over 18)
(per person per court event)
</t>
  </si>
  <si>
    <t>CR5.10</t>
  </si>
  <si>
    <t xml:space="preserve">Unit cost of court event:
Breach offences (over 18)
(per person per court event)
</t>
  </si>
  <si>
    <t>NICE Clinical Guideline 115: Alcohol Use Disorders - alcohol dependence, costing report (National Institute for Health and Clinical Excellence, 2011), p.20</t>
  </si>
  <si>
    <t>NICE Clinical Guideline 115: Alcohol Use Disorders - alcohol dependence, costing report (National Institute for Health and Clinical Excellence, 2011), p.25</t>
  </si>
  <si>
    <t>SS1.0</t>
  </si>
  <si>
    <t>SS1.1</t>
  </si>
  <si>
    <t>Costs and Consequences of Placing Children in Care (Ward et al, 2008), quoted in Unit Costs of Health and Social Care 2011 (Curtis, 2011), p.120</t>
  </si>
  <si>
    <t>This is a constituent measure to the above headline entry, and represents the fiscal savings to the criminal justice system derived from the delivery of school-based emotional learning programmes (SEL) for children with conduct problems - it is the average savings per child over a ten year period.  The source gives a breakdown of potential savings over the ten years, providing the following costs at different stages: year 1 (savings over the first year following delivery of the SEL programme), £14; year 5 (savings for years 1-5 after programme delivery), £1,139; year 10 (savings for years 1-10 after programme delivery), £1,849 (all at 2009-10 prices).  The average annual saving to the criminal justice system over the ten year period is £185.  Further detail is given in the comments cell for the related headline cost above.</t>
  </si>
  <si>
    <t>SS1.4.3</t>
  </si>
  <si>
    <t>SS1.4.4</t>
  </si>
  <si>
    <t>SS1.4.5</t>
  </si>
  <si>
    <t>This is a constituent measure to the above headline entry, and represents the fiscal savings to the NHS derived from the delivery of school-based emotional learning programmes (SEL) for children with conduct problems - it is the average savings per child over a ten year period.  The source gives a breakdown of potential savings over the ten years, providing the following costs at different stages: year 1 (savings over the first year following delivery of the SEL programme), £39; year 5 (savings for years 1-5 after programme delivery), £751; year 10 (savings for years 1-10 after programme delivery), £1,148 (all at 2009-10 prices).  The average annual saving to the criminal justice system over the ten year period is £115.  Further detail is given in the comments cell for the related headline cost above.</t>
  </si>
  <si>
    <t>Fiscal savings to the education sector from the delivery of school-based emotional learning programmes, per child over a 10 year period</t>
  </si>
  <si>
    <t>This is a constituent measure to the above headline entry, and represents the fiscal savings to the education sector (Department for Education/schools) derived from the delivery of school-based emotional learning programmes (SEL) for children with conduct problems - it is the average savings per child over a ten year period.  The source gives a breakdown of potential savings over the ten years, providing the following costs at different stages: year 1 (savings over the first year following delivery of the SEL programme), £26; year 5 (savings for years 1-5 after programme delivery), £135; year 10 (savings for years 1-10 after programme delivery), £186 (all at 2009-10 prices).  The average annual saving to the criminal justice system over the ten year period is £19.  Further detail is given in the comments cell for the related headline cost above.</t>
  </si>
  <si>
    <t>Fiscal savings to social services from the delivery of school-based emotional learning programmes, per child over a 10 year period</t>
  </si>
  <si>
    <t>HE1.1</t>
  </si>
  <si>
    <t>HE2.1</t>
  </si>
  <si>
    <t>HE3.1</t>
  </si>
  <si>
    <t>HE5.1</t>
  </si>
  <si>
    <t>HE6.1</t>
  </si>
  <si>
    <t>HE9.1</t>
  </si>
  <si>
    <t>HE11.1</t>
  </si>
  <si>
    <t>HE12.1</t>
  </si>
  <si>
    <t>HE13.1</t>
  </si>
  <si>
    <t>HE16.1</t>
  </si>
  <si>
    <t>HE2.2</t>
  </si>
  <si>
    <t>HE2.3</t>
  </si>
  <si>
    <t>HE3.2</t>
  </si>
  <si>
    <t>HE6.2</t>
  </si>
  <si>
    <t>Counselling services in primary medical care, cost per hour</t>
  </si>
  <si>
    <t>GP contact - cost per telephone consultation (average 7.1 minutes)</t>
  </si>
  <si>
    <t>GP contact - cost per out-of-surgery visit (average 23.4 minutes)</t>
  </si>
  <si>
    <t>GP - prescription costs per consultation</t>
  </si>
  <si>
    <t>Hospital day cases - average cost per episode</t>
  </si>
  <si>
    <t>A&amp;E attendance - investigation with subsequent treatment</t>
  </si>
  <si>
    <t>A&amp;E attendance - investigation with subsequent treatment, leading to admission</t>
  </si>
  <si>
    <t>A&amp;E attendance - investigation with subsequent treatment, not leading to admission</t>
  </si>
  <si>
    <t>NDTMS Unit Cost Report - national and regional totals</t>
  </si>
  <si>
    <t>Per service user contact</t>
  </si>
  <si>
    <t>Structured Day Programme - cost per day in treatment</t>
  </si>
  <si>
    <t>Drug Aftercare - cost per service user contact</t>
  </si>
  <si>
    <t>Drug Outreach - cost per service user contact</t>
  </si>
  <si>
    <t>Drug Worker - annual salary costs</t>
  </si>
  <si>
    <t>Needle Exchange - cost per service user contact</t>
  </si>
  <si>
    <t>Drug Advice and Information - cost per service user contact</t>
  </si>
  <si>
    <t>This is the average annual cost per participant of a telehealth intervention.  It is derived from a research study into national Whole System Demonstrator pilots, and is based on a range of different types of telehealth intervention.  Constituent entries for equipment and support costs are given below.  The source notes that data were collected from only three sites, so the extent to which the costs can be generalised beyond these sites should be considered - for this reason, an amber flag has been allocated.</t>
  </si>
  <si>
    <t>Average annual cost of telecare provision per participant</t>
  </si>
  <si>
    <t>Unit Costs of Health &amp; Social Care 2013 (Curtis, 2013), p.29</t>
  </si>
  <si>
    <t>This is the average annual cost per participant of a telecare intervention.  It is derived from a research study into national Whole System Demonstrator pilots, and is based on a range of different types of telecare intervention.  Constituent entries for equipment and support costs are given below.  The source notes that data were collected from only three sites, so the extent to which the costs can be generalised beyond these sites should be considered - for this reason, an amber flag has been allocated.</t>
  </si>
  <si>
    <t>E&amp;E2.1</t>
  </si>
  <si>
    <t>E&amp;E2.2</t>
  </si>
  <si>
    <t>E&amp;E2.3</t>
  </si>
  <si>
    <t>E&amp;E2.4</t>
  </si>
  <si>
    <t>E&amp;E2.5</t>
  </si>
  <si>
    <t>E&amp;E2.6</t>
  </si>
  <si>
    <t>E&amp;E3.0</t>
  </si>
  <si>
    <t>E&amp;E3.1</t>
  </si>
  <si>
    <t>E&amp;E4.0</t>
  </si>
  <si>
    <t>E&amp;E4.1</t>
  </si>
  <si>
    <t>E&amp;E4.2</t>
  </si>
  <si>
    <t>E&amp;E6.0</t>
  </si>
  <si>
    <t>E&amp;E6.1</t>
  </si>
  <si>
    <t>E&amp;E6.2</t>
  </si>
  <si>
    <t>Coles et al 2010: Estimating the life-time cost of NEET:
16-18 year olds not in Education, Employment or Training p37 tab 3.7</t>
  </si>
  <si>
    <t>Presents a calculation of the public finance cost of each of the case studies being NEET. Aggregated the life-time welfare payments of each case with the lost contributions (an estimate of lost tax and National Insurance) because of their unemployment.</t>
  </si>
  <si>
    <t>Average consequence cost per fire</t>
  </si>
  <si>
    <t>The economic cost of fire: estimates for 2008 - Fire Research Report 3/2011 (Department for Communities and Local Government, 2011), p.29-30</t>
  </si>
  <si>
    <t>Average cost of fatalities per fire</t>
  </si>
  <si>
    <t>Homelessness application - average one-off and on-going costs associated with statutory homelessness</t>
  </si>
  <si>
    <t>E&amp;S1.0</t>
  </si>
  <si>
    <t>E&amp;S2.0</t>
  </si>
  <si>
    <t>E&amp;S3.0</t>
  </si>
  <si>
    <t>E&amp;S4.0</t>
  </si>
  <si>
    <t>E&amp;S5.0</t>
  </si>
  <si>
    <t>E&amp;S6.0</t>
  </si>
  <si>
    <t>E&amp;S7.0</t>
  </si>
  <si>
    <t>E&amp;S8.0</t>
  </si>
  <si>
    <t>E&amp;S9.0</t>
  </si>
  <si>
    <t>E&amp;S10.0</t>
  </si>
  <si>
    <t>E&amp;S11.0</t>
  </si>
  <si>
    <t>E&amp;S12.0</t>
  </si>
  <si>
    <t>E&amp;S13.0</t>
  </si>
  <si>
    <t>E&amp;S1.0.1</t>
  </si>
  <si>
    <t>E&amp;S1.0.2</t>
  </si>
  <si>
    <t>E&amp;S1.0.3</t>
  </si>
  <si>
    <t>E&amp;S1.0.4</t>
  </si>
  <si>
    <t>E&amp;S2.0.1</t>
  </si>
  <si>
    <t>E&amp;S2.0.2</t>
  </si>
  <si>
    <t>E&amp;S2.0.3</t>
  </si>
  <si>
    <t>E&amp;S2.0.4</t>
  </si>
  <si>
    <t>Employment and Support Allowance
Fiscal benefit from a workless claimant entering work - benefits payments</t>
  </si>
  <si>
    <t>Employment and Support Allowance
Fiscal benefit from a workless claimant entering work - improved health</t>
  </si>
  <si>
    <t>Job Seekers' Allowance
Fiscal benefit from a workless claimant entering work - benefits payments</t>
  </si>
  <si>
    <t>Job Seekers' Allowance
Fiscal benefit from a workless claimant entering work - improved health</t>
  </si>
  <si>
    <t>E&amp;E1.0.1</t>
  </si>
  <si>
    <t>E&amp;E1.0.2</t>
  </si>
  <si>
    <t>E&amp;E3.0.1</t>
  </si>
  <si>
    <t>E&amp;E3.0.2</t>
  </si>
  <si>
    <t>E&amp;E2.0</t>
  </si>
  <si>
    <t>E&amp;E3.2</t>
  </si>
  <si>
    <t>E&amp;E3.3</t>
  </si>
  <si>
    <t>E&amp;E3.4</t>
  </si>
  <si>
    <t>E&amp;E3.5</t>
  </si>
  <si>
    <t>E&amp;E3.6</t>
  </si>
  <si>
    <t>E&amp;E3.7</t>
  </si>
  <si>
    <t>E&amp;E5.0</t>
  </si>
  <si>
    <t>E&amp;E5.1</t>
  </si>
  <si>
    <t>E&amp;E5.2</t>
  </si>
  <si>
    <t>Average cost of service provision for people suffering from dementia, per person per year - fiscal cost to the local authority</t>
  </si>
  <si>
    <t>Average cost of service provision for people suffering from dementia, per person per year - fiscal cost to the NHS</t>
  </si>
  <si>
    <t>Miscarriage - average cost of a threatened or spontaneous miscarriage</t>
  </si>
  <si>
    <t>This is the weighted average cost of hospital admissions that require surgical procedure, and result from a range of potential cardiovascular conditions including angina, heart attack (myocardial infarction), TIA (transient ischemic attack, also known as mini-strokes), and strokes.  It is derived from Hospital Episode Statistics (HES) data.  Unit costs for the individual conditions are detailed below as constituent costs.</t>
  </si>
  <si>
    <t>This is an average cost for hospital admissions that require surgical procedure and result from angina, for people aged over 69, and is derived from Hospital Episode Statistics (HES) data.  It is a constituent cost to the subsidiary measure above, which gives a unit cost for hospital admission for cardiovascular disease (CVD) needing a surgical procedure, based on a weighted average of the cost of various CVD conditions including angina.</t>
  </si>
  <si>
    <t>This is an average cost for hospital admissions that require surgical procedure and result from angina, for people aged under 70, and is derived from Hospital Episode Statistics (HES) data.  It is a constituent cost to the subsidiary measure above, which gives a unit cost for hospital admission for cardiovascular disease (CVD) needing a surgical procedure, based on a weighted average of the cost of various CVD conditions including angina.</t>
  </si>
  <si>
    <r>
      <t xml:space="preserve">Apprenticeship - Construction (Level 3) </t>
    </r>
    <r>
      <rPr>
        <sz val="10"/>
        <rFont val="Arial"/>
        <family val="2"/>
      </rPr>
      <t xml:space="preserve">
Trainee product/benefit (per annum)</t>
    </r>
  </si>
  <si>
    <r>
      <t xml:space="preserve">Apprenticeship - Retail (Level 2) </t>
    </r>
    <r>
      <rPr>
        <sz val="10"/>
        <rFont val="Arial"/>
        <family val="2"/>
      </rPr>
      <t xml:space="preserve">
Trainee product/benefit (per annum)</t>
    </r>
  </si>
  <si>
    <r>
      <t xml:space="preserve">Apprenticeship - Hospitality (Level 2) </t>
    </r>
    <r>
      <rPr>
        <sz val="10"/>
        <rFont val="Arial"/>
        <family val="2"/>
      </rPr>
      <t xml:space="preserve">
Trainee product/benefit (per annum)</t>
    </r>
  </si>
  <si>
    <t>A constituent cost to the above cost line, the average consequence cost of fire, giving the average cost of fatalities per fire.  Note that this is an average cost across all fires, including both those that resulted in fatalities and those that did not; as such, it should not be used as a unit cost for fatalities resulting from fire (the following cost line should be used instead: the 'average value of prevention of an accident resulting in a fatality').  Note also that the cost line includes wider, non-fiscal costs associated with fatalities, such as lost output (economic cost) and human costs (social costs) (this is not the case for the quoted cost for 'average value of prevention of an accident resulting in a fatality', which comprises just medical and ambulance costs).  The cost is the English average; the source also gives averages for the nine English regions.</t>
  </si>
  <si>
    <t>Average cost of injuries per fire</t>
  </si>
  <si>
    <t>A constituent cost to the above cost line, the average consequence cost of fire, giving the average cost of injuries per fire.  Note that this is an average cost across all fires, including both those that resulted in injuries and those that did not; as such, it should not be used as a unit cost for injuries resulting from fire (the following cost line should be used instead: the 'average value of prevention of an accident resulting in an injury').  Note also that the cost line includes wider, non-fiscal costs associated with injuries, such as lost output (economic cost) and human costs (social costs) (this is not the case for the quoted cost for 'average value of prevention of an accident resulting in an injury', which comprises just medical and ambulance costs).  The cost is the English average; the source also gives averages for the nine English regions.</t>
  </si>
  <si>
    <t>Average costs to the criminal justice system per fire</t>
  </si>
  <si>
    <t>ADULT RESIDENTIAL / NURSING CARE</t>
  </si>
  <si>
    <t>SS7.0</t>
  </si>
  <si>
    <t>Residential care for older people - average gross weekly expenditure per person, England</t>
  </si>
  <si>
    <t>SS8.0</t>
  </si>
  <si>
    <t>SS9.0</t>
  </si>
  <si>
    <t>INTERMEDIATE CARE</t>
  </si>
  <si>
    <t>SS10.0</t>
  </si>
  <si>
    <t>REABLEMENT</t>
  </si>
  <si>
    <t>SS11.0</t>
  </si>
  <si>
    <t>HOME / COMMUNITY CARE</t>
  </si>
  <si>
    <t>SS12.0</t>
  </si>
  <si>
    <t>Meals on wheels (average cost per week)</t>
  </si>
  <si>
    <t>Hoist (median total cost)</t>
  </si>
  <si>
    <t>Low level bath (median total cost)</t>
  </si>
  <si>
    <t xml:space="preserve">Unit cost of court event:
Violence against a person (under 18)
(per person per court event)
</t>
  </si>
  <si>
    <t xml:space="preserve">Unit cost of court event:
Sexual Offences (under 18)
(per person per court event)
</t>
  </si>
  <si>
    <t xml:space="preserve">Unit cost of court event:
Burglary (under 18)
(per person per court event)
</t>
  </si>
  <si>
    <t xml:space="preserve">Unit cost of court event:
Robbery (under 18)
(per person per court event)
</t>
  </si>
  <si>
    <t xml:space="preserve">Unit cost of court event:
Theft and handling stolen goods (under 18)
(per person per court event)
</t>
  </si>
  <si>
    <t xml:space="preserve">Unit cost of court event:
Fraud and Forgery (under 18)
(per person per court event)
</t>
  </si>
  <si>
    <t xml:space="preserve">Unit cost of court event:
Criminal damage (under 18)
(per person per court event)
</t>
  </si>
  <si>
    <t xml:space="preserve">Unit cost of court event:
Drug offences (under 18)
(per person per court event)
</t>
  </si>
  <si>
    <t xml:space="preserve">Unit cost of court event:
Indictable motoring offences (under 18)
(per person per court event)
</t>
  </si>
  <si>
    <t xml:space="preserve">Unit cost of court event:
Breach offences (under 18)
(per person per court event)
</t>
  </si>
  <si>
    <t xml:space="preserve">Unit cost of custody served in prison (under 18):
(per person per month)
</t>
  </si>
  <si>
    <t>CR6.0</t>
  </si>
  <si>
    <t>£342 police costs, £245 duty solicitor costs, £6 YOS input (average figure per arrest - most arrests will not include YOS input)</t>
  </si>
  <si>
    <t>CR6.1</t>
  </si>
  <si>
    <t>100% police costs</t>
  </si>
  <si>
    <t>CR7.0</t>
  </si>
  <si>
    <t>CR7.1</t>
  </si>
  <si>
    <t>SS1.1.4</t>
  </si>
  <si>
    <t>SS1.1.5</t>
  </si>
  <si>
    <t>Child taken into care (low cost, for children with no additional support needs) - cost of transition to leaving care, for a specific care scenario</t>
  </si>
  <si>
    <t>SS1.2</t>
  </si>
  <si>
    <t>SS1.2.1</t>
  </si>
  <si>
    <t>SS1.2.2</t>
  </si>
  <si>
    <t>SS1.2.3</t>
  </si>
  <si>
    <t>SS1.2.4</t>
  </si>
  <si>
    <t>Per child over a 25 year period</t>
  </si>
  <si>
    <t>Mental Health Promotion and Mental Illness Prevention: the economic case (Knapp et al, 2011), p.6-7</t>
  </si>
  <si>
    <t>Fiscal savings to the criminal justice system from the delivery of parenting programmes for parents of children aged five with conduct disorder, per child over a 25 year period (to age 30)</t>
  </si>
  <si>
    <t>Cost per session of basic core training for foster carers and their families</t>
  </si>
  <si>
    <t>SS3.0</t>
  </si>
  <si>
    <t>SS3.1</t>
  </si>
  <si>
    <t>SS4.0</t>
  </si>
  <si>
    <t>Application for Child Protection Section 31 Care Order: overall cost</t>
  </si>
  <si>
    <t>Review of the Childcare Proceedings System in England and Wales (DfES/DCA, 2006)</t>
  </si>
  <si>
    <t>Average cost for Section 31 applications - the source details the approximate breakdown of this cost as: legal aid = c. 60% of total; local authorities’ costs = c.25%; CJS costs = c.5%; CAFCASS costs = c.10%.  These costs are detailed in the constituent rows below.  The cost of accommodating children who will already be living away from home during proceedings (the majority) is not included.  Note that a year for the cost data is not specified in the source, but it has been assumed to be 2005-06, as other relevant data are from this year.  Note age of data - process, and related costings, may have changed over this period.</t>
  </si>
  <si>
    <t>Application for Child Protection Section 31 Care Order: legal aid costs</t>
  </si>
  <si>
    <t>Constituent cost to above overall cost.  This is the average cost for Section 31 applications, of which the source outlines the cost of legal aid to be approximately 60% of the overall cost (£25,000).  Note that a year for the cost data is not specified in the source, but it has been assumed to be 2005-06, as other relevant data are from this year.  Note age of data - process, and related costings, may have changed over this period.  Legal aid costs should be 100% cashable.</t>
  </si>
  <si>
    <t>Application for Child Protection Section 31 Care Order: local authority costs</t>
  </si>
  <si>
    <t>Constituent cost to above overall cost.  This is the average cost for Section 31 applications, of which the source outlines the cost to local authorities as approximately 25% of the overall cost (£25,000).  Note that a year for the cost data is not specified in the source, but it has been assumed to be 2005-06, as other relevant data are from this year.  Note age of data - process, and related costings, may have changed over this period.</t>
  </si>
  <si>
    <t>Application for Child Protection Section 31 Care Order: court costs</t>
  </si>
  <si>
    <t>Constituent cost to above overall cost.  This is the average cost for Section 31 applications, of which the source outlines the cost to the court system to be approximately 5% of the overall cost (£25,000).  Note that a year for the cost data is not specified in the source, but it has been assumed to be 2005-06, as other relevant data are from this year.  Note age of data - process, and related costings, may have changed over this period.</t>
  </si>
  <si>
    <t>Application for Child Protection Section 31 Care Order: Children and Family Court Advisory and Support Service (CAFCASS) costs</t>
  </si>
  <si>
    <t>Constituent cost to above overall cost.  This is the average cost for Section 31 applications, of which the source outlines the cost to CAFCASS as approximately 10% of the overall cost (£25,000).  Note that a year for the cost data is not specified in the source, but it has been assumed to be 2005-06, as other relevant data are from this year.  Note age of data - process, and related costings, may have changed over this period.</t>
  </si>
  <si>
    <t>SS5.0</t>
  </si>
  <si>
    <t>Extension of the cost calculator to include cost calculations for all children in need (DfE, 2010), p.8</t>
  </si>
  <si>
    <t>SS1.3.4</t>
  </si>
  <si>
    <t>SS1.3.5</t>
  </si>
  <si>
    <t>Child taken into care (high cost, for children with emotional or behavioural difficulties and offending behaviour) - costs of ceasing being looked after, for a specific care scenario</t>
  </si>
  <si>
    <t>SS1.4</t>
  </si>
  <si>
    <t>This is the average annual spend per unit by local authorities on rough sleepers.  It is sourced from Supporting People Local Systems data submitted by local authorities to the Department for Communities and Local Government.  An amber flag has been allocated to reflect local level variation, and the significant methodological and data issues associated with deriving unit costs relating to housing; it also reflects a note in the source report, which comments on derivation of the data and concludes that they should be considered 'illustrative'.  Note that costs associated with rough sleepers should be distinguished from those associated with statutory homelessness - the latter incurs costs to local authorities who have a duty to secure accommodation for people or families who are unintentionally homeless or who fall into a priority need category; there can be few fiscal costs directly relating to rough sleeping, although the indirect costs associated with the consequences of rough sleeping (e.g. health and mental health problems, drug/alcohol misuse, crime) can be significant.</t>
  </si>
  <si>
    <t>HO1.0</t>
  </si>
  <si>
    <t>HO1.0.1</t>
  </si>
  <si>
    <t>HO1.0.2</t>
  </si>
  <si>
    <t>HO1.0.3</t>
  </si>
  <si>
    <t>HO1.0.4</t>
  </si>
  <si>
    <t>HO1.0.5</t>
  </si>
  <si>
    <t>HO1.0.6</t>
  </si>
  <si>
    <t>HO2.0</t>
  </si>
  <si>
    <t>HO2.0.1</t>
  </si>
  <si>
    <t>HO2.0.2</t>
  </si>
  <si>
    <t>HO3.0</t>
  </si>
  <si>
    <t>HO3.0.1</t>
  </si>
  <si>
    <t>HO3.0.2</t>
  </si>
  <si>
    <t>HO3.0.3</t>
  </si>
  <si>
    <t>HO3.0.4</t>
  </si>
  <si>
    <t>HO3.0.5</t>
  </si>
  <si>
    <t>HO4.0</t>
  </si>
  <si>
    <t>HO4.1</t>
  </si>
  <si>
    <t>HO4.2</t>
  </si>
  <si>
    <t>HO4.3</t>
  </si>
  <si>
    <t>HO4.4</t>
  </si>
  <si>
    <t>HO5.0</t>
  </si>
  <si>
    <t>HO5.1</t>
  </si>
  <si>
    <t>HO5.2</t>
  </si>
  <si>
    <t>HO5.3</t>
  </si>
  <si>
    <t>HO6.0</t>
  </si>
  <si>
    <t>HO6.1</t>
  </si>
  <si>
    <t>HO7.0</t>
  </si>
  <si>
    <t>HO8.0</t>
  </si>
  <si>
    <t>Six month programme</t>
  </si>
  <si>
    <t>Per six weeks</t>
  </si>
  <si>
    <t>Per person per year</t>
  </si>
  <si>
    <t>Per person</t>
  </si>
  <si>
    <t xml:space="preserve">Per person </t>
  </si>
  <si>
    <t>Per proceeding</t>
  </si>
  <si>
    <t>Per programme</t>
  </si>
  <si>
    <t>Social Services</t>
  </si>
  <si>
    <t>Police</t>
  </si>
  <si>
    <t>ASSESSMENT</t>
  </si>
  <si>
    <t>Per half hour</t>
  </si>
  <si>
    <t>Per transfer</t>
  </si>
  <si>
    <t>Project to Feb 10</t>
  </si>
  <si>
    <t>Connexions Service</t>
  </si>
  <si>
    <t>Education Services</t>
  </si>
  <si>
    <t>Per hour per team member</t>
  </si>
  <si>
    <t>Per child per course</t>
  </si>
  <si>
    <t>Per claimant</t>
  </si>
  <si>
    <t>Per intervention per annum</t>
  </si>
  <si>
    <t>Per intervention</t>
  </si>
  <si>
    <t>UNEMPLOYMENT</t>
  </si>
  <si>
    <t>EARNINGS</t>
  </si>
  <si>
    <t>EXCLUSION</t>
  </si>
  <si>
    <t>PUPIL SUPPORT</t>
  </si>
  <si>
    <t>Per home visit</t>
  </si>
  <si>
    <t>Per clinic hour</t>
  </si>
  <si>
    <t>Face to face contact</t>
  </si>
  <si>
    <t>Per user</t>
  </si>
  <si>
    <t>Per FTE</t>
  </si>
  <si>
    <t>Per patient hour</t>
  </si>
  <si>
    <t>Per case</t>
  </si>
  <si>
    <t>Per bed day</t>
  </si>
  <si>
    <t>Per course</t>
  </si>
  <si>
    <t>Per quitter</t>
  </si>
  <si>
    <t>HOMELESSNESS</t>
  </si>
  <si>
    <t>EVICTION</t>
  </si>
  <si>
    <t>NEIGHBOURHOOD DISPUTES</t>
  </si>
  <si>
    <t>NOISE</t>
  </si>
  <si>
    <t>RENT ARREARS</t>
  </si>
  <si>
    <t>Two hours per week</t>
  </si>
  <si>
    <t>Per night</t>
  </si>
  <si>
    <t>Per child</t>
  </si>
  <si>
    <t>Per process</t>
  </si>
  <si>
    <t>Local authority</t>
  </si>
  <si>
    <t>Private sector</t>
  </si>
  <si>
    <t>Environmental Services</t>
  </si>
  <si>
    <t>Per call</t>
  </si>
  <si>
    <t>Adult Services</t>
  </si>
  <si>
    <t>Per patient for treatment period</t>
  </si>
  <si>
    <t>Per test</t>
  </si>
  <si>
    <t>Per consultation</t>
  </si>
  <si>
    <t>Per journey</t>
  </si>
  <si>
    <t>Per patient per year</t>
  </si>
  <si>
    <t>Per vaccine</t>
  </si>
  <si>
    <t>Per claimant per year</t>
  </si>
  <si>
    <t>Community Safety Partnership</t>
  </si>
  <si>
    <t>DAAT (Drug &amp; Alcohol Action Teams)</t>
  </si>
  <si>
    <t>JCP</t>
  </si>
  <si>
    <t xml:space="preserve">Benefits </t>
  </si>
  <si>
    <t>Per person per week</t>
  </si>
  <si>
    <t>Updated cost/saving</t>
  </si>
  <si>
    <t>GP</t>
  </si>
  <si>
    <t>Per pupil per year</t>
  </si>
  <si>
    <t>The Economic and Social Costs of Anti-Social Behaviour: a review' (London School of Economics and Political Science, 2003), p.43</t>
  </si>
  <si>
    <t>Comment</t>
  </si>
  <si>
    <t>Cost code</t>
  </si>
  <si>
    <t>X-CUTTING</t>
  </si>
  <si>
    <t>Costs and longer-term savings of parenting programmes for the prevention of persistent conduct disorder: a modelling study (Bonin et al, 2011), p.5</t>
  </si>
  <si>
    <t>Per participant</t>
  </si>
  <si>
    <t>CHILD PROTECTION</t>
  </si>
  <si>
    <t>LOOKED AFTER CHILDREN</t>
  </si>
  <si>
    <t>CAFCASS</t>
  </si>
  <si>
    <t>Legal aid</t>
  </si>
  <si>
    <t>Department for Education</t>
  </si>
  <si>
    <t>LABOUR COSTS PER HOUR</t>
  </si>
  <si>
    <t>CHILDREN IN NEED</t>
  </si>
  <si>
    <t>Cost Database - Lookups</t>
  </si>
  <si>
    <t>OBESITY</t>
  </si>
  <si>
    <t>Alcohol Use Disorders: diagnosis, assessment and management of harmful drinking and alcohol dependence (NICE Clinical Practice Guidance 115), p.408</t>
  </si>
  <si>
    <t>Alcohol misuse - estimated annual cost to the NHS of alcohol dependency, per year per dependent drinker</t>
  </si>
  <si>
    <t>Primary Care Trust / Clinical Commissioning Group</t>
  </si>
  <si>
    <t>Per attendance</t>
  </si>
  <si>
    <t>E&amp;E8.0</t>
  </si>
  <si>
    <t>Attendance Allowance is a regular payment for people who need help with personal care because they are physically or mentally disabled and are aged 65 or over.  It is paid weekly at 2 different rates, depending on the level of help needed by the claimant. It is paid weekly at 2 different rates, depending on the level of help needed by the claimant.  The lower rate is paid for people requiring frequent help or constant supervision during the day, or supervision at night</t>
  </si>
  <si>
    <t>Employment and Support Allowance
Cost of processing each new claim for ESA</t>
  </si>
  <si>
    <t>Employment and Support Allowance
Cost of maintaining claims</t>
  </si>
  <si>
    <t>Income Support
Cost of maintaining claims</t>
  </si>
  <si>
    <t>Income Support
Fiscal benefit from a workless claimant entering work - benefits payments</t>
  </si>
  <si>
    <t>Income Support
Fiscal benefit from a workless claimant entering work - improved health</t>
  </si>
  <si>
    <t>ALL CRIME</t>
  </si>
  <si>
    <r>
      <rPr>
        <sz val="10"/>
        <rFont val="Arial"/>
        <family val="2"/>
      </rPr>
      <t>Job Seeker's Allowance 
Cost of processing each new claim for JSA</t>
    </r>
  </si>
  <si>
    <t>E&amp;E2.0.1</t>
  </si>
  <si>
    <t>E&amp;E2.0.2</t>
  </si>
  <si>
    <t>E&amp;E5.3</t>
  </si>
  <si>
    <t>SS17.0</t>
  </si>
  <si>
    <t>Social Work Assistant - cost per hour</t>
  </si>
  <si>
    <t>Family Support Worker - cost per hour</t>
  </si>
  <si>
    <t>CR1.0</t>
  </si>
  <si>
    <t>CR1.1</t>
  </si>
  <si>
    <t>Anti-social behaviour
no further action taken 
(simple police reporting of incident)</t>
  </si>
  <si>
    <t>CR1.2</t>
  </si>
  <si>
    <t>Anti-social behaviour
warning letter delivered</t>
  </si>
  <si>
    <t>National Audit Office (2006) Tackling Anti-Social Behaviour p24 Fig13</t>
  </si>
  <si>
    <t>Acceptable Behaviour Contract issued</t>
  </si>
  <si>
    <t>Note age of data.  Based on seminars in 12 local areas involving practitioners from a range of agencies including the police and local authorities. The cost does not include the cost of other support services which may be provided in conjunction with the intervention e.g. youth projects or drug rehabilitation schemes, nor does it include the cost of policing the intervention. Court costs are included but legal aid costs are not.</t>
  </si>
  <si>
    <t>Neighbourhood dispute: Local Authority mediation - average costs</t>
  </si>
  <si>
    <t>Scottish Executive (2003): The role of mediation in tackling neighbourhood disputes and anti-social behaviour</t>
  </si>
  <si>
    <t>Neighbourhood dispute: Local Authority mediation - Verbal abuse</t>
  </si>
  <si>
    <t>Neighbourhood dispute: Local Authority mediation - Noise (including element of verbal abuse)</t>
  </si>
  <si>
    <t>Neighbourhood dispute: Local Authority mediation - Common boundary dispute</t>
  </si>
  <si>
    <t>CR2.0</t>
  </si>
  <si>
    <t>CR2.0.1</t>
  </si>
  <si>
    <t>CR2.0.2</t>
  </si>
  <si>
    <t>CR2.0.3</t>
  </si>
  <si>
    <t>CR2.0.4</t>
  </si>
  <si>
    <t>CR3.0</t>
  </si>
  <si>
    <t>Attendance Allowance
Higher rate</t>
  </si>
  <si>
    <t>Attendance Allowance
Lower rate</t>
  </si>
  <si>
    <t>E&amp;E8.1</t>
  </si>
  <si>
    <t>E&amp;E8.2</t>
  </si>
  <si>
    <t>Attendance Allowance
Cost of maintaining claims</t>
  </si>
  <si>
    <t>Attendance Allowance is a regular payment for people who need help with personal care because they are physically or mentally disabled and are aged 65 or over.  It is paid weekly at 2 different rates, depending on the level of help needed by the claimant.  The higher rate is paid for people requiring help or supervision throughout both day and night, or who are terminally ill.</t>
  </si>
  <si>
    <t>Job Search Reviews - signing on
Cost per customer</t>
  </si>
  <si>
    <t>Disability Living Allowance
Cost of processing each new claim for DLA</t>
  </si>
  <si>
    <t>Fiscal savings to the NHS from the delivery of school-based emotional learning programmes, per child over a 10 year period</t>
  </si>
  <si>
    <t>SS1.1.1</t>
  </si>
  <si>
    <t>SS1.1.2</t>
  </si>
  <si>
    <t>SS5.0.4</t>
  </si>
  <si>
    <t>SS5.0.5</t>
  </si>
  <si>
    <t>SS5.0.6</t>
  </si>
  <si>
    <t>SS5.0.7</t>
  </si>
  <si>
    <t>SS5.0.8</t>
  </si>
  <si>
    <t>HE16.0</t>
  </si>
  <si>
    <t>HE17.0</t>
  </si>
  <si>
    <t>HE18.0</t>
  </si>
  <si>
    <t>HE19.0</t>
  </si>
  <si>
    <t>HE20.0</t>
  </si>
  <si>
    <t>HE21.0</t>
  </si>
  <si>
    <t>HE22.0</t>
  </si>
  <si>
    <t>HE23.0</t>
  </si>
  <si>
    <t>HE24.0</t>
  </si>
  <si>
    <t>HE2.1.1</t>
  </si>
  <si>
    <t>HE2.1.2</t>
  </si>
  <si>
    <t>Cost per offender per year - National Audit Office analysis, based on CIPFA, Home Office, Ministry of Justice and Youth Justice Board data from 2008.  Calculated the unit cost of offender management teams, for over-18s, based on the total expenditure of probation staff in 2008-09, adjusted to exclude indirect time, such as training, and divided by the number of over-18s convicted in court in 2008.</t>
  </si>
  <si>
    <t>Neighbourhood dispute: Local Authority mediation - Noise &amp; Loud music related to parties</t>
  </si>
  <si>
    <t>FI1.0</t>
  </si>
  <si>
    <t>FI1.0.1</t>
  </si>
  <si>
    <t>FI1.0.2</t>
  </si>
  <si>
    <t>FI1.0.3</t>
  </si>
  <si>
    <t>FI1.0.4</t>
  </si>
  <si>
    <t>FI1.0.5</t>
  </si>
  <si>
    <t>FI1.0.6</t>
  </si>
  <si>
    <t>FI2.0</t>
  </si>
  <si>
    <t>FI2.1</t>
  </si>
  <si>
    <t>FI2.2</t>
  </si>
  <si>
    <t>FI3.0</t>
  </si>
  <si>
    <t>FI4.0</t>
  </si>
  <si>
    <t>FI5.0</t>
  </si>
  <si>
    <t>FI6.0</t>
  </si>
  <si>
    <t>FI7.0</t>
  </si>
  <si>
    <t>Average fiscal cost of a complex eviction</t>
  </si>
  <si>
    <t>Cost of writing off rent arrears</t>
  </si>
  <si>
    <t>Ongoing cost of temporary accommodation (private rented sector) whilst homelessness decision made</t>
  </si>
  <si>
    <t>Research briefing: Immediate costs to government of loss of home (Shelter, 2012), p.6</t>
  </si>
  <si>
    <t>Average fiscal cost of a simple repossession</t>
  </si>
  <si>
    <t>Research briefing: Immediate costs to government of loss of home (Shelter, 2012), p.5</t>
  </si>
  <si>
    <t>Prevention of homelessness through a homelessness prevention or housing options scheme</t>
  </si>
  <si>
    <t>Application for Local Housing Allowance</t>
  </si>
  <si>
    <t>Per application</t>
  </si>
  <si>
    <t>Research briefing: Immediate costs to government of loss of home (Shelter, 2012), p.7</t>
  </si>
  <si>
    <t>Ongoing cost of temporary accommodation (bed and breakfast, family) whilst homelessness decision made</t>
  </si>
  <si>
    <t>Administration cost associated with new letting (following acceptance of homelessness application)</t>
  </si>
  <si>
    <t>Ministry of Justice</t>
  </si>
  <si>
    <t>This measure comprises the process costs associated with providing advice, support and assistance through a homelessness prevention or housing options scheme, and which results in homelessness being prevented or relieved (note that this does not preclude loss of the original home).</t>
  </si>
  <si>
    <t>This  comprises the average cost to a local authority of administering a decision on a homelessness application.</t>
  </si>
  <si>
    <t>Temporary accommodation - average weekly cost of housing a homeless household in hostel accommodation</t>
  </si>
  <si>
    <t>Temporary accommodation - average weekly cost of housing a homeless household in bed and breakfast accommodation</t>
  </si>
  <si>
    <t>Temporary accommodation - average weekly cost of housing a homeless household in temporary accommodation using stock belonging to the local authority</t>
  </si>
  <si>
    <t>Temporary accommodation - average weekly cost of housing a homeless household in temporary accommodation using stock belonging to a Registered Provider (e.g. Housing Association)</t>
  </si>
  <si>
    <t>Temporary accommodation - average weekly cost of housing a homeless household in temporary accommodation using stock belonging to a private landlord</t>
  </si>
  <si>
    <t>Administrative costs of eviction</t>
  </si>
  <si>
    <t>This comprises the administrative costs associated with an eviction;  it does not include the costs of preparing a property for re-letting.</t>
  </si>
  <si>
    <t>Per scheme</t>
  </si>
  <si>
    <t>Cost of housing advice funded through the Legal Services Commission</t>
  </si>
  <si>
    <t>Cost of Court Desk advice on housing (funded by the Legal Services Commission)</t>
  </si>
  <si>
    <t>Research briefing: Immediate costs to government of loss of home (Shelter, 2012), p.4</t>
  </si>
  <si>
    <t>Cost of securing a new private tenancy through a rent deposit/guarantee scheme</t>
  </si>
  <si>
    <t>Cost of re-letting property post-eviction</t>
  </si>
  <si>
    <t>Persistent truancy - total fiscal cost of persistent truancy (missing at least five weeks of school per year), per individual per effective year</t>
  </si>
  <si>
    <t>Persistent truancy (missing at least five weeks of school per year) - provision of alternative education, per individual per effective year (see comments)</t>
  </si>
  <si>
    <t>Persistent truancy (missing at least five weeks of school per year) - health, per individual per effective year (see comments)</t>
  </si>
  <si>
    <t>Persistent truancy (missing at least five weeks of school per year) - crime, per individual per effective year (see comments)</t>
  </si>
  <si>
    <t>Persistent truancy (missing at least five weeks of school per year) - Social Services, per individual per effective year (see comments)</t>
  </si>
  <si>
    <t>School-based emotional learning programme - cost of delivery, per child per year</t>
  </si>
  <si>
    <t>Per child per year</t>
  </si>
  <si>
    <t>Mental Health Promotion and Mental Illness Prevention: the economic case (Knapp et al, 2011), p.9</t>
  </si>
  <si>
    <t>This is the cost per child per year of delivering a school-based emotional learning programme (SEL), and includes the cost of teacher training, programme coordinator and materials.  SEL programmes are designed to help address conduct problems in childhood; such problems lead to significant longer-term costs relating to adverse outcomes such as increased risk of criminal activity, fewer school qualifications, parenthood at a young age, unemployment, divorce or separation, substance abuse, and psychiatric disorders.  The programmes help children and young people to recognise and manage emotions, set and achieve positive goals, appreciate the perspectives of others, establish and maintain positive relationships, make responsible decisions and handle interpersonal situations constructively.  Participants can demonstrate significantly improved social and emotional skills, attitudes, behaviour, and academic performance.  See the related subsidiary measure and constituent costs (below) for data on the fiscal savings estimated to be derived from delivery of SEL programmes.</t>
  </si>
  <si>
    <r>
      <t xml:space="preserve">Apprenticeship - Engineering (Level 3) </t>
    </r>
    <r>
      <rPr>
        <sz val="10"/>
        <rFont val="Arial"/>
        <family val="2"/>
      </rPr>
      <t xml:space="preserve">
Trainee product/benefit (per annum)</t>
    </r>
  </si>
  <si>
    <t>Average annual cost of telehealth provision per participant</t>
  </si>
  <si>
    <t>Process costs involved in concluding a local authority's statutory homelessness duty, following re-housing of the client</t>
  </si>
  <si>
    <t>SCHOOL READINESS</t>
  </si>
  <si>
    <t>Average annual cost of telehealth provision per participant - equipment costs</t>
  </si>
  <si>
    <t>Average annual cost of telehealth provision per participant - support package costs</t>
  </si>
  <si>
    <t>This is the average annual cost per participant for the support package element of a telehealth intervention; note that it excludes equipment costs, which are detailed in the constituent cost above and contribute to the related headline cost.  It is derived from a research study into national Whole System Demonstrator pilots, and is based on a range of different types of telehealth intervention.  The source notes that data were collected from only three sites, so the extent to which the costs can be generalised beyond these sites should be considered - for this reason, an amber flag has been allocated.</t>
  </si>
  <si>
    <t>This is the average annual cost per participant of the equipment typically used in a telehealth intervention; note that it excludes support costs, which are detailed in the constituent cost below and contribute to the related headline cost.  It is derived from a research study into national Whole System Demonstrator pilots, and is based on a range of different types of telehealth intervention.  The source notes that data were collected from only three sites, so the extent to which the costs can be generalised beyond these sites should be considered - for this reason, an amber flag has been allocated.</t>
  </si>
  <si>
    <t>Average annual cost of telecare provision per participant - equipment costs</t>
  </si>
  <si>
    <t>This is the average annual cost per participant of the equipment typically used in a telecare intervention; note that it excludes support costs, which are detailed in the constituent cost below and contribute to the related headline cost.  It is derived from a research study into national Whole System Demonstrator pilots, and is based on a range of different types of telecare intervention.  The source notes that data were collected from only three sites, so the extent to which the costs can be generalised beyond these sites should be considered - for this reason, an amber flag has been allocated.</t>
  </si>
  <si>
    <t>Average annual cost of telecare provision per participant - support package costs</t>
  </si>
  <si>
    <t>This is the average annual cost per participant for the support package element of a telecare intervention; note that it excludes equipment costs, which are detailed in the constituent cost above and contribute to the related headline cost.  It is derived from a research study into national Whole System Demonstrator pilots, and is based on a range of different types of telecare intervention.  The source notes that data were collected from only three sites, so the extent to which the costs can be generalised beyond these sites should be considered - for this reason, an amber flag has been allocated.</t>
  </si>
  <si>
    <t>E&amp;E1.2</t>
  </si>
  <si>
    <t>E&amp;E1.3</t>
  </si>
  <si>
    <t>E&amp;E1.6</t>
  </si>
  <si>
    <t>Homicide - fiscal cost to other areas of the criminal justice system</t>
  </si>
  <si>
    <t>Robbery - fiscal cost to other areas of the criminal justice system</t>
  </si>
  <si>
    <t>Theft of vehicle - fiscal cost to other areas of the criminal justice system</t>
  </si>
  <si>
    <t>Theft from vehicle - fiscal cost to other areas of the criminal justice system</t>
  </si>
  <si>
    <t>Commercial - Robbery - fiscal cost to other areas of the criminal justice system</t>
  </si>
  <si>
    <t>% change on previous year</t>
  </si>
  <si>
    <t>% change on previous year as decimal</t>
  </si>
  <si>
    <t>Reverse calculation
(check)</t>
  </si>
  <si>
    <t>For further information on GDP deflators, see:</t>
  </si>
  <si>
    <r>
      <t>Offender Management Team per offender (</t>
    </r>
    <r>
      <rPr>
        <u/>
        <sz val="10"/>
        <color indexed="8"/>
        <rFont val="Arial"/>
        <family val="2"/>
      </rPr>
      <t>over 18</t>
    </r>
    <r>
      <rPr>
        <sz val="10"/>
        <color indexed="8"/>
        <rFont val="Arial"/>
        <family val="2"/>
      </rPr>
      <t>)
- supervising community sentences</t>
    </r>
  </si>
  <si>
    <r>
      <t xml:space="preserve">Criminal proceedings: 
</t>
    </r>
    <r>
      <rPr>
        <b/>
        <u/>
        <sz val="10"/>
        <color indexed="8"/>
        <rFont val="Arial"/>
        <family val="2"/>
      </rPr>
      <t>Arrest</t>
    </r>
    <r>
      <rPr>
        <b/>
        <sz val="10"/>
        <color indexed="8"/>
        <rFont val="Arial"/>
        <family val="2"/>
      </rPr>
      <t xml:space="preserve"> - detained</t>
    </r>
  </si>
  <si>
    <t>EDUCATION &amp; SKILLS</t>
  </si>
  <si>
    <t>EMPLOYMENT &amp; ECONOMY</t>
  </si>
  <si>
    <t>Note that this is the fiscal cost of a simple repossession as far as making a Local Housing Allowance (LHA) application; if this application is successful, ongoing LHA payments could be factored in.  However, note the potential for double-counting with wider benefit payments, if other outcomes are modelled for the same individual (e.g. the first order fiscal benefit from reduced benefit payments as a result of helping someone into employment includes an element for housing benefits).  The source focuses on the fiscal costs resulting directly from the loss of a home and the immediate period leading up to this point.  Indirect costs that may accrue to the state in the future are not included, such as increased healthcare costs.  Wider economic and social costs are also excluded - e.g. economic costs to private companies, individuals and organisations, and social costs to individuals and society around personal well-being, social cohesion, etc.  Data for the study were sourced from government, the Chartered Institute of Public Finance Accountants,  Shelter's local authority benchmarking service, and contributing local authorities.  An amber flag has been allocated to reflect local level variation, and the significant methodological and data issues associated with deriving unit costs relating to housing.</t>
  </si>
  <si>
    <t xml:space="preserve">This is the response cost per fire incurred by the fire service - it is a fiscal cost, although not one that is easily cashable (avoiding a certain number of responses does not necessarily mean a fire worker, appliance or station can be decommissioned).  The cost is an average for England; the source also gives averages for the nine English regions. </t>
  </si>
  <si>
    <t>This relates to the cost of deliberate fires only, and excludes accidental fires.  Resource costs associated with malicious false alarms were included (although the opportunity costs associated with false alarms were excluded).  Costs associated with attacks on firefighters, vehicles and equipment are included, but not costs related to Special Service Incidents (non-fire incidents, e.g. road traffic collisions, recovering/retrieving objects, and making public areas safe from potential fall of debris).  This is an average cost for England; the source also gives averages for the nine English regions.</t>
  </si>
  <si>
    <t>The source also quotes a London-weighted cost per hour for fire safety work of £20 (at 2008-09 prices).  No further definition is given, but a related report states that data were calculated from the average cost per hour of fire safety labour plus a 30% overhead to account for fixed administration costs such as expenses for premises (rent or building depreciation), telephone, heating, electricity, IT equipment, etc.; the overhead also included absence owing to illness.  Although it is not clear from the source, is seems likely that the cost does not include 'on-costs' such as national insurance and employer pension contributions.</t>
  </si>
  <si>
    <t>This is a constituent measure related to the subsidiary cost above, and represents the average saving to the NHS from reduced drug-related offending by people who go on to sustain longer-term recovery following receipt of effective structured drug treatment - the saving results from the reduced physical harm perpetrated on victims due to fewer robberies.  Please see the comment cell for the subsidiary cost for details over how these data relate to the headline measure, which refers to the annual savings derived from reduced offending whilst a client is in treatment.  Effective treatment is defined as remaining in treatment for at least 12 weeks, or exiting prior to this in a care-planned way.  The focus is on 'economic compulsive' drug-related crime - i.e. crime committed to pay for drug use; it excludes 'other violent crime', which may not have an economic compulsive motivation.  The cost is sourced from the 2012 National Treatment Agency publication, 'Estimating the crime reduction benefits of drug treatment and recovery', and relates to an 'average' client, regardless of drug type and nature of misuse.  The source also provides data on the average longer-term savings resulting from the crime reduction benefits to individuals and businesses, and for the social benefit resulting from a reduction in the physical and emotional impact on direct victims - these costs are detailed in the economic and social value columns for the subsidiary measure above.  A related constituent measure provides the fiscal savings to the criminal justice system and victim services from reduced drug-related offending by people in receipt of effective treatment.</t>
  </si>
  <si>
    <t>CR2.0.5</t>
  </si>
  <si>
    <t>Domestic violence - fiscal cost per incident: police</t>
  </si>
  <si>
    <t>Domestic violence - fiscal cost per incident: local authority, housing services</t>
  </si>
  <si>
    <t>Domestic violence - fiscal cost per incident: health</t>
  </si>
  <si>
    <t>Domestic violence - fiscal cost per incident: criminal justice system (excluding police)</t>
  </si>
  <si>
    <t>Domestic violence - fiscal cost per incident: local authority, social services (children)</t>
  </si>
  <si>
    <t>Sylvia Walby - The Cost of Domestic violence, update (2009), p.8</t>
  </si>
  <si>
    <t>TELEHEALTH</t>
  </si>
  <si>
    <t>TELECARE</t>
  </si>
  <si>
    <t>HE25.0</t>
  </si>
  <si>
    <t>SS2.0</t>
  </si>
  <si>
    <t>SS2.0.1</t>
  </si>
  <si>
    <t>SS2.0.2</t>
  </si>
  <si>
    <t>SS2.1</t>
  </si>
  <si>
    <t>Agency bearing the cost / making the fiscal saving</t>
  </si>
  <si>
    <t>Based on 100 case studies in 2003. Calculated net costs in the present study, that is, the costs of staff time and travel costs that can directly be attributed to cases. These net costs exclude organisational overheads, that is, building and office costs, staff training, and central services such as personnel.</t>
  </si>
  <si>
    <t xml:space="preserve">ESA claimants who have been claiming for 13 weeks progress to the work-related activity group if they are assessed as able to work in the Work Capability Assessment.  </t>
  </si>
  <si>
    <t>Robbery - average cost per incident (fiscal, economic and social values)</t>
  </si>
  <si>
    <r>
      <t xml:space="preserve">Theft </t>
    </r>
    <r>
      <rPr>
        <b/>
        <u/>
        <sz val="10"/>
        <color indexed="8"/>
        <rFont val="Arial"/>
        <family val="2"/>
      </rPr>
      <t>of</t>
    </r>
    <r>
      <rPr>
        <b/>
        <sz val="10"/>
        <color indexed="8"/>
        <rFont val="Arial"/>
        <family val="2"/>
      </rPr>
      <t xml:space="preserve"> </t>
    </r>
    <r>
      <rPr>
        <sz val="10"/>
        <color indexed="8"/>
        <rFont val="Arial"/>
        <family val="2"/>
      </rPr>
      <t>vehicle - average cost per incident (fiscal, economic and social values)</t>
    </r>
  </si>
  <si>
    <r>
      <t xml:space="preserve">Theft </t>
    </r>
    <r>
      <rPr>
        <b/>
        <u/>
        <sz val="10"/>
        <color indexed="8"/>
        <rFont val="Arial"/>
        <family val="2"/>
      </rPr>
      <t>from</t>
    </r>
    <r>
      <rPr>
        <b/>
        <sz val="10"/>
        <color indexed="8"/>
        <rFont val="Arial"/>
        <family val="2"/>
      </rPr>
      <t xml:space="preserve"> </t>
    </r>
    <r>
      <rPr>
        <sz val="10"/>
        <color indexed="8"/>
        <rFont val="Arial"/>
        <family val="2"/>
      </rPr>
      <t>vehicle - average cost per incident (fiscal, economic and social values)</t>
    </r>
  </si>
  <si>
    <t>Commercial, Robbery - average cost per incident (fiscal, economic and social values)</t>
  </si>
  <si>
    <t>Commercial, Criminal Damage - average cost per incident (fiscal, economic and social values)</t>
  </si>
  <si>
    <t>Crime - average fiscal cost per incident of crime, across all types of crime; police costs</t>
  </si>
  <si>
    <t>Crime - average fiscal cost per incident of crime, across all types of crime; probation costs</t>
  </si>
  <si>
    <t>Crime - average fiscal cost per incident of crime, across all types of crime; courts/legal aid costs</t>
  </si>
  <si>
    <t>Average cost of service provision for adults suffering from depression and/or anxiety disorders, per person per year - fiscal and economic costs</t>
  </si>
  <si>
    <t>Theft of vehicle - fiscal cost to the probation system</t>
  </si>
  <si>
    <t>Theft from vehicle - fiscal cost to the probation system</t>
  </si>
  <si>
    <t>Commercial - Robbery - fiscal cost to the probation system</t>
  </si>
  <si>
    <t xml:space="preserve">This includes the administrative costs (e.g. advertising the vacancy, processing applications, and matching people to properties) and the financial costs (e.g. lost rental revenue, redecoration, repairs and security costs) incurred by a local authority in the process of re-letting a vacant home. </t>
  </si>
  <si>
    <t>This comprises the administrative costs incurred by a local authority in re-letting a vacant home - these can include advertising the vacancy, processing applications, and matching people to properties.</t>
  </si>
  <si>
    <t>This is a scenario-based measure that includes the on-going cost of providing temporary bed and breakfast accommodation whilst a homelessness application is progressing; the cost is based upon four weeks of temporary accommodation (£335 x 4).  The scenario used by Shelter involves a family becoming homeless having been evicted from private rented accommodation, and being re-housed in local authority social housing.  The source notes that in such an instance there may be a ongoing fiscal saving, as Housing Benefit payments in the social sector tend to be lower than those in the private rented sector (using the Housing Benefit costs given below, the average weekly saving between awards to private rented sector and local authority tenants would be £29, at 2013 prices).  The source focuses on the fiscal costs resulting directly from the loss of a home and the immediate period leading up to this point.  Indirect costs that may accrue to the state in the future are not included, such as increased healthcare costs.  Wider economic and social costs are also excluded - e.g. economic costs to private companies, individuals and organisations, and social costs to individuals and society around personal well-being, social cohesion, etc.  Data for the study were sourced from government, the Chartered Institute of Public Finance Accountants,  Shelter's local authority benchmarking service, and contributing local authorities.  An amber flag has been allocated to reflect local level variation, and the significant methodological and data issues associated with deriving unit costs relating to housing.</t>
  </si>
  <si>
    <t>This measure covers the time and costs incurred by a local authority in enabling households to move on from temporary accommodation.  It includes: the cost of advice and assistance following the completion of homelessness enquiries and the notification of duties owed; and action to 'relieve' homelessness and conclude one of the main homelessness duties in other ways.</t>
  </si>
  <si>
    <t>Commercial - Criminal damage - fiscal cost to the probation system</t>
  </si>
  <si>
    <t>Robbery - fiscal cost to the courts/legal aid system</t>
  </si>
  <si>
    <t>Theft from vehicle - fiscal cost to the courts/legal aid system</t>
  </si>
  <si>
    <t>Commercial - Robbery - fiscal cost to the courts/legal aid system</t>
  </si>
  <si>
    <t>Commercial - Criminal damage - fiscal cost to the courts/legal aid system</t>
  </si>
  <si>
    <t>Homicide - fiscal cost to the prison system</t>
  </si>
  <si>
    <t>Robbery - fiscal cost to the prison system</t>
  </si>
  <si>
    <t>Theft of vehicle - fiscal cost to the prison system</t>
  </si>
  <si>
    <t>Theft from vehicle - fiscal cost to the prison system</t>
  </si>
  <si>
    <t>Commercial - Robbery - fiscal cost to the prison system</t>
  </si>
  <si>
    <t>Commercial - Criminal damage - fiscal cost to other areas of the criminal justice system</t>
  </si>
  <si>
    <t>Robbery - fiscal cost to the NHS</t>
  </si>
  <si>
    <t>Theft of vehicle - fiscal cost to the courts/legal aid system</t>
  </si>
  <si>
    <t>Commercial - Robbery - fiscal cost to the NHS</t>
  </si>
  <si>
    <t>Fiscal value</t>
  </si>
  <si>
    <t>Economic value</t>
  </si>
  <si>
    <t>Social value</t>
  </si>
  <si>
    <t>Permanent exclusion from school - fiscal cost of alternative educational provision (e.g. in a pupil referral unit), per individual per effective year (see comments)</t>
  </si>
  <si>
    <t>Permanent exclusion from school - health fiscal cost, per individual per effective year (see comments)</t>
  </si>
  <si>
    <t>Permanent exclusion from school - crime fiscal cost, per individual per effective year (see comments)</t>
  </si>
  <si>
    <t>Permanent exclusion from school - social services fiscal cost, per individual per effective year (see comments)</t>
  </si>
  <si>
    <t>Permanent exclusion from school - fiscal and economic cost of permanent exclusion from school, per individual per effective year</t>
  </si>
  <si>
    <t>Total fiscal and economic savings from the delivery of school-based emotional learning programmes, per child over a 10 year period</t>
  </si>
  <si>
    <t>NVQ Level 2 Qualification - annual fiscal and economic benefits</t>
  </si>
  <si>
    <t>City &amp; Guilds Level 2 Qualification - annual fiscal and economic benefits</t>
  </si>
  <si>
    <t>BTEC Level 2 Qualification - annual fiscal and economic benefits</t>
  </si>
  <si>
    <t>NVQ Level 3 Qualification - annual fiscal and economic benefits</t>
  </si>
  <si>
    <t>City &amp; Guilds Level 3 Qualification - annual fiscal and economic benefits</t>
  </si>
  <si>
    <t>Nursing care for older people - average gross weekly expenditure per person</t>
  </si>
  <si>
    <t>Nursing care for older people - average gross weekly expenditure per person, local authority care costs</t>
  </si>
  <si>
    <t>Nursing care for older people - average gross weekly expenditure per person, standard NHS nursing care contribution</t>
  </si>
  <si>
    <t>SS11.1</t>
  </si>
  <si>
    <t>SS11.2</t>
  </si>
  <si>
    <t>Changes made</t>
  </si>
  <si>
    <t>New / update</t>
  </si>
  <si>
    <t>New cost</t>
  </si>
  <si>
    <t>Update</t>
  </si>
  <si>
    <t>Parenting Programme - Incredible Years: total cost per child (eight parents per group, excluding set-up costs)</t>
  </si>
  <si>
    <t>E&amp;E7.0</t>
  </si>
  <si>
    <t>E&amp;E7.1</t>
  </si>
  <si>
    <t>Jobcentre Plus - jobseeker advice</t>
  </si>
  <si>
    <t>Housing Benefit - average cost of processing a Housing Benefit/Local Housing Allowance application</t>
  </si>
  <si>
    <t>This figure is an average of responses from a local authority consultation exercise undertaken by Shelter in 2011.</t>
  </si>
  <si>
    <t>In the scenario detailed in the Shelter report, this advice was provided by a local advice centre.</t>
  </si>
  <si>
    <t>This is the cost of homelessness prevention achieved by securing a new tenancy through the use of a rent deposit or damage guarantee scheme.  Note that this is a sub-set of the headline cost above (Homelessness advice and support), so should not be used alongside it in modelling.</t>
  </si>
  <si>
    <t>Homelessness advice and support - cost of a homelessness prevention or housing options scheme that leads to successful prevention of homelessness</t>
  </si>
  <si>
    <t>Average cost of administering a decision on a homelessness application</t>
  </si>
  <si>
    <t>This cost is usually met through Housing Benefit payments.</t>
  </si>
  <si>
    <t>This cost is usually met through Local Housing Allowance payments.</t>
  </si>
  <si>
    <t>Note that this is an on-going cost relating to the provision of temporary accommodation in bed and breakfast accommodation whilst the homelessness application was progressing.  The scenario for which the headline cost above relates (homelessness application) assumes that four weeks temporary accommodation was required at a cost of £1,339.80 (£334.95 x 4).</t>
  </si>
  <si>
    <t>Note that this is an on-going cost relating to the provision of temporary accommodation in the private rented sector whilst the homelessness application was progressing.  The scenario for which the headline cost above relates (complex eviction) assumes that two weeks temporary accommodation will be required at a cost of £324.88 (£162.44 x 2).  Note that costs following on from a successful homelessness application are not included - following acceptance of an application, costs could arise from an extended stay in temporary accommodation and a new letting being made (see homelessness application costs below).</t>
  </si>
  <si>
    <t>Court desk schemes or 'duty advice desks' provide homeowners facing repossession with free legal advice and representation at court before a hearing.  In the majority of cases, they are able to prevent immediate repossession. This is the out-of-London average cost per session for Court Desk advice.  The source also quotes a London cost of £84 per session.</t>
  </si>
  <si>
    <t>The source focuses on the fiscal costs resulting directly from the loss of a home and the immediate period leading up to this point.  Indirect costs that may accrue to the state in the future are not included, such as increased healthcare costs.  Wider economic and social costs are also excluded - e.g. economic costs to private companies, individuals and organisations, and social costs to individuals and society around personal well-being, social cohesion, etc.  Data for the study were sourced from government, the Chartered Institute of Public Finance Accountants,  Shelter's local authority benchmarking service, and contributing local authorities.  An amber flag has been allocated to reflect local level variation, and the significant methodological and data issues associated with deriving unit costs relating to housing.</t>
  </si>
  <si>
    <t>This measure comprises the process costs associated with providing advice, support and assistance through a homelessness prevention or housing options scheme, and which results in homelessness being prevented or relieved (note that this does not preclude loss of the original home).  Data for the study were sourced from government, the Chartered Institute of Public Finance Accountants,  Shelter's local authority benchmarking service, and contributing local authorities. An amber flag has been allocated to reflect local level variation, and the significant methodological and data issues associated with deriving unit costs relating to housing.</t>
  </si>
  <si>
    <t>This figure is an average of responses from a local authority consultation exercise undertaken by Shelter in 2011.  An amber flag has been allocated to reflect local level variation, and the significant methodological and data issues associated with deriving unit costs relating to housing.</t>
  </si>
  <si>
    <t>Evidence review of the costs of homelessness (DCLG, 2012), pp.14-15</t>
  </si>
  <si>
    <t xml:space="preserve">Rough sleepers - average annual local authority expenditure per individual </t>
  </si>
  <si>
    <t>Average cost per client per week of a homelessness outreach worker specialising in multiple needs</t>
  </si>
  <si>
    <t>Per client per week</t>
  </si>
  <si>
    <t>This is the average annual spend per unit by local authorities on outreach services for rough sleepers. The source provides a lower cost of £30 per week, and a higher cost of £60 per week; the mid-point has been used here.  A red flag has been allocated to reflect the age of the data, and the variance in potential cost.</t>
  </si>
  <si>
    <t>How many, how much? Single homelessness and the question of numbers and cost (Crisis/New Policy Institute, 2003)</t>
  </si>
  <si>
    <t>HE12.2</t>
  </si>
  <si>
    <t>HE12.3</t>
  </si>
  <si>
    <t>HE12.4</t>
  </si>
  <si>
    <t>HE16.2</t>
  </si>
  <si>
    <t>HE1.0</t>
  </si>
  <si>
    <t>HE2.0</t>
  </si>
  <si>
    <t>HE3.0</t>
  </si>
  <si>
    <t>HE4.0</t>
  </si>
  <si>
    <t>HE5.0</t>
  </si>
  <si>
    <t>HE6.0</t>
  </si>
  <si>
    <t>HE7.0</t>
  </si>
  <si>
    <t>HE8.0</t>
  </si>
  <si>
    <t>HE9.0</t>
  </si>
  <si>
    <t>HE10.0</t>
  </si>
  <si>
    <t>HE11.0</t>
  </si>
  <si>
    <t>HE12.0</t>
  </si>
  <si>
    <t>HE13.0</t>
  </si>
  <si>
    <t>HE14.0</t>
  </si>
  <si>
    <t>This is a constituent cost to the headline measure above, and is the cost saving associated with reduced reported offences that result from delivery of a structured drug treatment programme - the data represent fiscal savings to the criminal justice system and victim services that are realised whilst a drug misuser is engaged in effective treatment.  Note that costs to the criminal justice system and victim services (often delivered by the voluntary and community sector, e.g. Victim Support) are not separated out (although see the GM CBA model for a typical profile across police, probation and other criminal justice system areas).  Effective treatment is defined as remaining in treatment for at least 12 weeks, or exiting prior to this in a care-planned way; the average length of continuous treatment contact is two years).  The focus is on 'economic compulsive' drug-related crime - i.e. crime committed to pay for drug use; it excludes 'other violent crime', which may not have an economic compulsive motivation.  The cost is sourced from the 2012 National Treatment Agency publication, 'Estimating the crime reduction benefits of drug treatment and recovery', and relates to an 'average' client, regardless of drug type and nature of misuse.  The economic value represents the crime reduction benefits to individuals and businesses; the social value, quantified in QALYs, represents a reduction in the physical and emotional impact on direct victims.  Also see the related constituent cost for average annual savings to the NHS from reduced drug-related offending by people in receipt of effective treatment, from the same source.</t>
  </si>
  <si>
    <t>This is a constituent cost to the headline measure above, and is the cost saving flowing to the NHS that results from the reduced physical harm perpetrated on victims due to fewer robberies.  As with the related constituent measure on savings to the criminal justice system and victim services, the cost refers to the reduction in reported offences that result from delivery of a structured drug treatment programme (the data represent fiscal savings to the NHS that are realised whilst a drug misuser is engaged in effective treatment.  Effective treatment is defined as remaining in treatment for at least 12 weeks, or exiting prior to this in a care-planned way; the average length of continuous treatment contact is two years).  The focus is on 'economic compulsive' drug-related crime - i.e. crime committed to pay for drug use; it excludes 'other violent crime', which may not have an economic compulsive motivation.  The cost is sourced from the 2012 National Treatment Agency publication, 'Estimating the crime reduction benefits of drug treatment and recovery', and relates to an 'average' client, regardless of drug type and nature of misuse.  The economic value represents the crime reduction benefits to individuals and businesses; the social value, quantified in QALYs, represents a reduction in the physical and emotional impact on direct victims.</t>
  </si>
  <si>
    <t>Crime - average fiscal cost per incident of crime, across all types of crime; prison costs</t>
  </si>
  <si>
    <t>Crime - average fiscal cost per incident of crime, across all types of crime; other criminal justice system costs</t>
  </si>
  <si>
    <t>Crime - average fiscal cost per incident of crime, across all types of crime; NHS costs</t>
  </si>
  <si>
    <t>Homicide - fiscal cost to the police</t>
  </si>
  <si>
    <t>Homicide - fiscal cost to the NHS</t>
  </si>
  <si>
    <t>Robbery - fiscal cost to the police</t>
  </si>
  <si>
    <t>Theft of vehicle - fiscal cost to the police</t>
  </si>
  <si>
    <t>Theft from vehicle - fiscal cost to the police</t>
  </si>
  <si>
    <t>Personal - Criminal damage - fiscal cost to the police</t>
  </si>
  <si>
    <t>Commercial - Robbery - fiscal cost to the police</t>
  </si>
  <si>
    <t>Commercial - Criminal damage - fiscal cost to the police</t>
  </si>
  <si>
    <t>Homicide - fiscal cost to the courts/legal aid system</t>
  </si>
  <si>
    <t>Homicide - fiscal cost to the probation system</t>
  </si>
  <si>
    <t>Robbery - fiscal cost to the probation system</t>
  </si>
  <si>
    <t>Income Support
Fiscal and economic benefit from a workless claimant entering work</t>
  </si>
  <si>
    <t>Job Seeker's Allowance 
Fiscal and economic benefit from a workless claimant entering work</t>
  </si>
  <si>
    <t xml:space="preserve">Domestic violence - average cost per incident (fiscal, economic and social values)
</t>
  </si>
  <si>
    <t>Crime - average cost per incident of crime, across all types of crime (fiscal, economic and social values)</t>
  </si>
  <si>
    <t>This is a constituent measure related to the subsidiary cost above, and represents the average savings to the criminal justice system and victim services (which are often delivered by the voluntary and community sector, e.g. Victim Support) from reduced drug-related offending by people who go on to sustain longer-term recovery following receipt of effective structured drug treatment.  Please see the comment cell for the subsidiary cost for details over how these data relate to the headline measure, which refers to the annual savings derived from reduced offending whilst a client is in treatment.  Effective treatment is defined as remaining in treatment for at least 12 weeks, or exiting prior to this in a care-planned way.  The focus is on 'economic compulsive' drug-related crime - i.e. crime committed to pay for drug use; it excludes 'other violent crime', which may not have an economic compulsive motivation.  The cost is sourced from the 2012 National Treatment Agency publication, 'Estimating the crime reduction benefits of drug treatment and recovery', and relates to an 'average' client, regardless of drug type and nature of misuse.  The source also provides data on the average longer-term savings resulting from the crime reduction benefits to individuals and businesses, and for the social benefit resulting from a reduction in the physical and emotional impact on direct victims - these costs are detailed in the economic and social value columns for the subsidiary measure above.  A related constituent measure provides the fiscal savings to the NHS from reduced drug-related offending by people in receipt of effective treatment (the cost refers to the reduced physical harm perpetrated on victims due to fewer robberies).</t>
  </si>
  <si>
    <t xml:space="preserve">Homicide - average cost (fiscal, economic and social values)
</t>
  </si>
  <si>
    <r>
      <rPr>
        <sz val="10"/>
        <rFont val="Arial"/>
        <family val="2"/>
      </rPr>
      <t>Not in Employment Education or Training
Lifetime fiscal costs, including welfare payments (less pensions); and lost contributions £ (NI, direct taxes)</t>
    </r>
  </si>
  <si>
    <t>This cost is derived from the constituent cost lines detailed below - it includes the cost per fire of fatalities, injuries and non-detected arson, and costs to the Criminal Justice System, police, and prison service.  Although the latter (agency) costs are fiscal, note that elements of the other costs may not be.  The economic value per fire comprises property damage of (2008/09 prices) £2,634, and for lost business of £79; the average public value consequence cost per fire, combining the fiscal and economic costs, is £5,792.  Quoted costs are averages for England; the source also gives averages for the nine English regions.</t>
  </si>
  <si>
    <t>BTEC Level 3 Qualification - annual fiscal and economic benefits</t>
  </si>
  <si>
    <t>School-based emotional learning (SEL) programmes are designed to help address conduct problems in childhood; such problems lead to significant longer-term costs relating to adverse outcomes such as increased risk of criminal activity, fewer school qualifications, parenthood at a young age, unemployment, divorce or separation, substance abuse, and psychiatric disorders.  This measure represents the fiscal savings to public sector agencies derived from the delivery of SEL programmes - it is the average saving per child over a ten year period.  The research assumes that children receive the intervention aged ten years old, and start in one of three different conduct ‘health states’: no conduct problems, mild conduct problems or severe conduct problems.  The source gives a breakdown of potential savings over the ten year period, providing the following costs at different stages: year 1 (savings over the first year following delivery of the SEL programme), £83; year 5 (savings for years 1-5 after programme delivery), £2,038; year 10 (savings for years 1-10 after programme delivery), £3,206 (all at 2009-10 prices).  The average annual saving over the ten year period is £321.  Constituent costs for the individual agencies are given in the cost lines below.  As detailed in the source (see the Education and Skills section of this database), the costs of a representative intervention, including teacher training, programme coordinator and materials were estimated as £132 per child - put alongside these potential savings, it is evident that such programmes can offer good value for money, with the overall break-even point after the first year following the intervention, and the education sector breaking even after five years.  Note that the research did not model wider outcomes such as improved academic performance, or benefits accruing to parents, siblings or other peers.  In addition to the fiscal benefits, the source quotes wider economic benefits over ten years to non-public sector bodies/individuals as follows: victim costs (crime), £4,912; other crime costs, £2,038; voluntary sector, £8 (see p.10 of the source report for details of how these costs are distributed over the ten year period).</t>
  </si>
  <si>
    <t>This is a subsidiary measure related to the headline measure above, and represents the average longer-term savings from reduced drug-related offending by people sustaining recovery following receipt of effective structured drug treatment.  Note that the cost savings detailed here are additional to savings on the headline measure, which are annual savings derived from reduced offending whilst a client is in treatment.  Hence, the average total savings for someone receiving treatment and subsequently sustaining longer-term recovery are the annual savings whilst in treatment (calculated from the headline annual saving multiplied by the length of time spent in treatment, which the source quotes as an average of three years), plus the longer-term savings outlined here.  As shown in the constituent costs below, the data comprise fiscal savings to the criminal justice system and victim services (which are often delivered by the voluntary and community sector, e.g. Victim Support), and to the NHS as a result of reduced physical harm perpetrated on victims due to fewer robberies.  Effective treatment is defined as remaining in treatment for at least 12 weeks, or exiting prior to this in a care-planned way.  The focus is on 'economic compulsive' drug-related crime - i.e. crime committed to pay for drug use; it excludes 'other violent crime', which may not have an economic compulsive motivation.  The cost is sourced from the 2012 National Treatment Agency publication, 'Estimating the crime reduction benefits of drug treatment and recovery', and relates to an 'average' client, regardless of drug type and nature of misuse.  
The economic value represents the crime reduction benefits to individuals and businesses; the social value, quantified in QALYs, represents a reduction in the physical and emotional impact on direct victims.  Note that, in contrast to the headline measure above (HE2.0), the economic value does not include the cost saving to the individual due to not buying drugs; the social value does not include health/well-being benefits to the drug user from reduction in drug misuse.</t>
  </si>
  <si>
    <t>This includes the cost of hospital inpatient and day visits, outpatient visits, A&amp;E and ambulance visits, primary care consultations and prescribed medications.  The cost is derived from data on higher risk drinkers, defined in the source as men who consume 50 or more drinks per week and women who consume 35 or more drinks per week.  The source also uses this cost as the annual cost of a relapse during treatment.  Note that no detail is given in the source on the constituent costs that make up the overall figure, hence the amber flag.
The social value relates to the health/well-being impacts to an individual entering treatment.  This is sourced from an analysis of brief interventions delivered in GP surgeries, which found that they led to an additional 0.0233 Quality Adjusted Life Years (QALYs) per person; a value of £60,000 per QALY (2009 prices) has been used to monetise the benefit.  Note that we have not been able to source a robust value for the economic impact associated with addressing alcohol misuse ((e.g. savings from alcohol purchase; enhanced earnings).</t>
  </si>
  <si>
    <t>CR1.3</t>
  </si>
  <si>
    <t>CR1.4</t>
  </si>
  <si>
    <t>CR1.4.1</t>
  </si>
  <si>
    <t>CR1.4.2</t>
  </si>
  <si>
    <t>CR1.4.3</t>
  </si>
  <si>
    <t>CR1.4.4</t>
  </si>
  <si>
    <t>CR6.2</t>
  </si>
  <si>
    <t>CR6.3</t>
  </si>
  <si>
    <t>CR6.4</t>
  </si>
  <si>
    <t>CR6.5</t>
  </si>
  <si>
    <t>CR6.6</t>
  </si>
  <si>
    <t>CR6.7</t>
  </si>
  <si>
    <t>CR6.8</t>
  </si>
  <si>
    <t>CR6.9</t>
  </si>
  <si>
    <t>CR6.10</t>
  </si>
  <si>
    <t>CR8.0</t>
  </si>
  <si>
    <t>CR8.0.2</t>
  </si>
  <si>
    <t>CR8.0.3</t>
  </si>
  <si>
    <t>CR8.0.4</t>
  </si>
  <si>
    <t>CR8.0.5</t>
  </si>
  <si>
    <t>CR8.0.6</t>
  </si>
  <si>
    <t>CR8.1</t>
  </si>
  <si>
    <t>CR8.1.1</t>
  </si>
  <si>
    <t>CR8.1.2</t>
  </si>
  <si>
    <t>CR8.1.3</t>
  </si>
  <si>
    <t>CR8.1.4</t>
  </si>
  <si>
    <t>CR8.1.5</t>
  </si>
  <si>
    <t>CR8.1.6</t>
  </si>
  <si>
    <t>CR8.2</t>
  </si>
  <si>
    <t>CR8.2.1</t>
  </si>
  <si>
    <t>CR8.2.2</t>
  </si>
  <si>
    <t>CR8.2.3</t>
  </si>
  <si>
    <t>CR8.2.4</t>
  </si>
  <si>
    <t>CR8.2.5</t>
  </si>
  <si>
    <t>CR8.2.6</t>
  </si>
  <si>
    <t>CR8.3</t>
  </si>
  <si>
    <t>CR8.3.1</t>
  </si>
  <si>
    <t>CR8.3.2</t>
  </si>
  <si>
    <t>CR8.3.3</t>
  </si>
  <si>
    <t>CR8.3.4</t>
  </si>
  <si>
    <t>CR8.3.5</t>
  </si>
  <si>
    <t>CR8.3.6</t>
  </si>
  <si>
    <t>CR8.4</t>
  </si>
  <si>
    <t>CR8.4.1</t>
  </si>
  <si>
    <t>CR8.4.2</t>
  </si>
  <si>
    <t>CR8.4.3</t>
  </si>
  <si>
    <t>CR8.4.4</t>
  </si>
  <si>
    <t>CR8.4.5</t>
  </si>
  <si>
    <t>CR8.4.6</t>
  </si>
  <si>
    <t>CR8.5</t>
  </si>
  <si>
    <t>CR8.5.1</t>
  </si>
  <si>
    <t>CR8.5.2</t>
  </si>
  <si>
    <t>CR8.5.3</t>
  </si>
  <si>
    <t>CR8.5.4</t>
  </si>
  <si>
    <t>CR8.5.5</t>
  </si>
  <si>
    <t>CR8.5.6</t>
  </si>
  <si>
    <t>CR8.6</t>
  </si>
  <si>
    <t>CR8.6.1</t>
  </si>
  <si>
    <t>CR8.6.2</t>
  </si>
  <si>
    <t>CR8.6.3</t>
  </si>
  <si>
    <t>CR8.6.4</t>
  </si>
  <si>
    <t>CR8.6.5</t>
  </si>
  <si>
    <t>CR8.6.6</t>
  </si>
  <si>
    <t>CR8.7</t>
  </si>
  <si>
    <t>CR8.7.1</t>
  </si>
  <si>
    <t>CR8.7.2</t>
  </si>
  <si>
    <t>CR8.7.3</t>
  </si>
  <si>
    <t>CR8.7.4</t>
  </si>
  <si>
    <t>CR8.7.5</t>
  </si>
  <si>
    <t>CR8.8</t>
  </si>
  <si>
    <t>CR8.8.1</t>
  </si>
  <si>
    <t>CR8.8.2</t>
  </si>
  <si>
    <t>CR8.8.3</t>
  </si>
  <si>
    <t>CR8.8.4</t>
  </si>
  <si>
    <t>CR8.8.5</t>
  </si>
  <si>
    <t>CR8.9</t>
  </si>
  <si>
    <t>CR8.9.1</t>
  </si>
  <si>
    <t>CR8.9.2</t>
  </si>
  <si>
    <t>CR8.9.3</t>
  </si>
  <si>
    <t>CR8.9.4</t>
  </si>
  <si>
    <t>CR8.9.5</t>
  </si>
  <si>
    <t>CR8.10</t>
  </si>
  <si>
    <t>CR8.10.1</t>
  </si>
  <si>
    <t>CR8.10.2</t>
  </si>
  <si>
    <t>CR8.10.3</t>
  </si>
  <si>
    <t>CR8.10.4</t>
  </si>
  <si>
    <t>CR8.10.5</t>
  </si>
  <si>
    <t>CR8.11</t>
  </si>
  <si>
    <t>CR8.11.1</t>
  </si>
  <si>
    <t>CR8.11.2</t>
  </si>
  <si>
    <t>CR8.11.3</t>
  </si>
  <si>
    <t>CR8.11.4</t>
  </si>
  <si>
    <t>CR8.11.5</t>
  </si>
  <si>
    <t>CR8.12</t>
  </si>
  <si>
    <t>CR8.12.1</t>
  </si>
  <si>
    <t>CR8.12.2</t>
  </si>
  <si>
    <t>CR8.12.3</t>
  </si>
  <si>
    <t>CR8.12.4</t>
  </si>
  <si>
    <t>CR8.12.5</t>
  </si>
  <si>
    <t>CR8.13</t>
  </si>
  <si>
    <t>CR8.13.1</t>
  </si>
  <si>
    <t>CR8.13.2</t>
  </si>
  <si>
    <t>CR8.13.3</t>
  </si>
  <si>
    <t>CR8.13.4</t>
  </si>
  <si>
    <t>CR8.13.5</t>
  </si>
  <si>
    <t>CR8.14</t>
  </si>
  <si>
    <t>CR8.15</t>
  </si>
  <si>
    <t>CR8.15.1</t>
  </si>
  <si>
    <t>CR8.15.2</t>
  </si>
  <si>
    <t>CR8.15.3</t>
  </si>
  <si>
    <t>CR8.15.4</t>
  </si>
  <si>
    <t>CR8.15.5</t>
  </si>
  <si>
    <t>CR8.16</t>
  </si>
  <si>
    <t>CR8.16.1</t>
  </si>
  <si>
    <t>CR8.16.2</t>
  </si>
  <si>
    <t>CR8.16.3</t>
  </si>
  <si>
    <t>CR8.16.4</t>
  </si>
  <si>
    <t>CR8.16.5</t>
  </si>
  <si>
    <t>CR8.17</t>
  </si>
  <si>
    <t>CR8.17.1</t>
  </si>
  <si>
    <t>CR8.17.2</t>
  </si>
  <si>
    <t>CR8.17.3</t>
  </si>
  <si>
    <t>CR8.17.4</t>
  </si>
  <si>
    <t>CR8.17.5</t>
  </si>
  <si>
    <t>CR8.18</t>
  </si>
  <si>
    <t>CR8.18.1</t>
  </si>
  <si>
    <t>CR8.18.2</t>
  </si>
  <si>
    <t>CR8.18.3</t>
  </si>
  <si>
    <t>CR8.18.4</t>
  </si>
  <si>
    <t>CR8.18.5</t>
  </si>
  <si>
    <t>CR8.19</t>
  </si>
  <si>
    <t>CR8.19.1</t>
  </si>
  <si>
    <t>CR8.19.2</t>
  </si>
  <si>
    <t>CR8.19.3</t>
  </si>
  <si>
    <t>CR8.19.4</t>
  </si>
  <si>
    <t>CR8.19.5</t>
  </si>
  <si>
    <t>School-based emotional learning (SEL) programmes are designed to help address conduct problems in childhood; such problems lead to significant longer-term costs relating to adverse outcomes such as increased risk of criminal activity, fewer school qualifications, parenthood at a young age, unemployment, divorce or separation, substance abuse, and psychiatric disorders.  This measure represents the fiscal savings to public sector agencies derived from the delivery of SEL programmes - it is the average saving per child over a ten year period.  The research assumes that children receive the intervention aged ten years old, and start in one of three different conduct ‘health states’: no conduct problems, mild conduct problems or severe conduct problems.  The source gives a breakdown of potential savings over the ten year period, providing the following costs at different stages: year 1 (savings over the first year following delivery of the SEL programme), £83; year 5 (savings for years 1-5 after programme delivery), £2,038; year 10 (savings for years 1-10 after programme delivery), £3,206 (all at 2009-10 prices).  The average annual saving over the ten year period is £321.  Constituent costs for the individual agencies are given in the cost lines below.  
As detailed in the source (see the Education and Skills section of this database), the costs of a representative intervention, including teacher training, programme coordinator and materials were estimated as £132 per child - put alongside these potential savings, it is evident that such programmes can offer good value for money, with the overall break-even point after the first year following the intervention, and the education sector breaking even after five years.  Note that the research did not model wider outcomes such as improved academic performance, or benefits accruing to parents, siblings or other peers.
The wider economic benefits are also quoted in the source document over a ten year period, falling to non-public sector bodies/individuals: victim costs (crime), £4,912; other crime costs, £2,038; voluntary sector, £8 (see p.10 of the source report for details of how these costs are distributed over the ten year period).</t>
  </si>
  <si>
    <t>Personal Social Services: Expenditure and Unit Costs, England - 2013-14, Final Release: Unit Costs by CASSR</t>
  </si>
  <si>
    <t>Child into local authority foster care (cost per week): social services (including cost of social worker and support relating directly to the fostered child)</t>
  </si>
  <si>
    <t>Disability Living Allowance (HISTORIC)
Care component: highest</t>
  </si>
  <si>
    <t>Disability Living Allowance (HISTORIC)
Care component: middle</t>
  </si>
  <si>
    <t>Disability Living Allowance (HISTORIC)
Care component: lowest</t>
  </si>
  <si>
    <t>Disability Living Allowance (HISTORIC)
Mobility component: higher</t>
  </si>
  <si>
    <t>Disability Living Allowance (HISTORIC)
Mobility component: lower</t>
  </si>
  <si>
    <t>Disability Living Allowance (HISTORIC)
Cost of maintaining claims</t>
  </si>
  <si>
    <t>Carers Allowance is a regular payment for carers to help look after someone with substantial caring needs - involving caring for at least 35 hours a week (see source for other eligibility criteria).</t>
  </si>
  <si>
    <t>Based on 100 case studies in 2003. Calculated net costs in the present study, that is, the costs of staff time and travel costs that can directly be attributed to cases. These net costs exclude organisational overheads, that is, building and office costs, staff training, and central services such as personnel.  This is an average cost of local authority mediation in neighbourhood disputes, across the range of types of dispute and cost that are detailed in the constituent entries below.</t>
  </si>
  <si>
    <t>Disability Living Allowance for Children
Care component: highest</t>
  </si>
  <si>
    <t>Disability Living Allowance for Children
Care component: middle</t>
  </si>
  <si>
    <t>Disability Living Allowance for Children
Care component: lowest</t>
  </si>
  <si>
    <t>Disability Living Allowance for Children
Mobility component: higher</t>
  </si>
  <si>
    <t>Disability Living Allowance for Children
Mobility component: lower</t>
  </si>
  <si>
    <t>Disability Living Allowance (DLA) is a regular payment for disabled adults who need help with the extra costs caused by a disability; it is now a historic benefit, with new claimants either claiming Disability Living Allowance for Children, or if an adult, Personal Independence Payment (PIP).  DLA has a Care Component and/or a Mobility Component.  The amounts paid depend upon how the claimant's disability or health condition affects them.  The highest Care Component rate is paid to people needing help or supervision throughout both day and night, or who are terminally ill.</t>
  </si>
  <si>
    <t>Disability Living Allowance (DLA) is a regular payment for disabled adults who need help with the extra costs caused by a disability; it is now a historic benefit, with new claimants either claiming Disability Living Allowance for Children, or if an adult, Personal Independence Payment (PIP).  It has a Care Component and/or a Mobility Component.  The amounts paid depend upon how the claimant's disability or health condition affects them.  The middle Care Component rate is paid to people needing frequent help or constant supervision during the day, supervision at night, or someone to help them while on dialysis.</t>
  </si>
  <si>
    <t>Disability Living Allowance (DLA) is a regular payment for disabled adults who need help with the extra costs caused by a disability; it is now a historic benefit, with new claimants either claiming Disability Living Allowance for Children, or if an adult, Personal Independence Payment (PIP).  It has a Care Component and/or a Mobility Component.  The amounts paid depend upon how the claimant's disability or health condition affects them.  The lowest Care Component rate is paid to people needing help for some of the day or with preparing cooked meals.</t>
  </si>
  <si>
    <t>Disability Living Allowance (DLA) is a regular payment for disabled adults who need help with the extra costs caused by a disability; it is now a historic benefit, with new claimants either claiming Disability Living Allowance for Children, or if an adult, Personal Independence Payment (PIP).  It has a Care Component and/or a Mobility Component.  The amounts paid depend upon how the claimant's disability or health condition affects them.  The higher Mobility Component rate is paid to people who have any other, more severe, walking difficulty (over and above the need for guidance or supervision outdoors, as defined for the lower rate).</t>
  </si>
  <si>
    <t>Disability Living Allowance (DLA) is a regular payment for disabled adults who need help with the extra costs caused by a disability; it is now a historic benefit, with new claimants either claiming Disability Living Allowance for Children, or if an adult, Personal Independence Payment (PIP).  It has a Care Component and/or a Mobility Component.  The amounts paid depend upon how the claimant's disability or health condition affects them.  The lower Mobility Component rate is paid to people who need guidance or supervision outdoors.</t>
  </si>
  <si>
    <r>
      <rPr>
        <b/>
        <sz val="10"/>
        <rFont val="Arial"/>
        <family val="2"/>
      </rPr>
      <t>Not in Employment Education or Training (NEET)
Average cost per 18-24 year old NEET</t>
    </r>
  </si>
  <si>
    <r>
      <rPr>
        <sz val="10"/>
        <rFont val="Arial"/>
        <family val="2"/>
      </rPr>
      <t>Not in Employment Education or Training (NEET)
Average cost per 16-17 year old NEET</t>
    </r>
  </si>
  <si>
    <r>
      <rPr>
        <sz val="10"/>
        <rFont val="Arial"/>
        <family val="2"/>
      </rPr>
      <t>Not in Employment Education or Training (NEET)
Average future annual cost per individual related to earlier NEET status - females</t>
    </r>
  </si>
  <si>
    <r>
      <rPr>
        <sz val="10"/>
        <rFont val="Arial"/>
        <family val="2"/>
      </rPr>
      <t>Not in Employment Education or Training (NEET)
Average future annual costs per individual related to earlier NEET status - males</t>
    </r>
  </si>
  <si>
    <r>
      <rPr>
        <sz val="10"/>
        <rFont val="Arial"/>
        <family val="2"/>
      </rPr>
      <t>Not in Employment Education or Training (NEET)
Average future annual costs per individual related to earlier NEET status - males; fiscal cost to DWP</t>
    </r>
  </si>
  <si>
    <r>
      <rPr>
        <sz val="10"/>
        <rFont val="Arial"/>
        <family val="2"/>
      </rPr>
      <t>Not in Employment Education or Training (NEET)
Average future annual costs per individual related to earlier NEET status - males; fiscal cost to HMRC</t>
    </r>
  </si>
  <si>
    <t>This is the element of the above fiscal cost falling to the Department for Work and Pensions.  It relates to benefits payments associated with spells of future worklessness as a result of time spent NEET as a young male.</t>
  </si>
  <si>
    <t>This is the element of the above fiscal cost falling to HM Revenue and Customs.  It relates to foregone tax and National Insurance payments associated with time spent NEET as a young male, resulting from lower wages (£1,335 pa at 2010/11 prices) and future worklessness (£1,091).</t>
  </si>
  <si>
    <r>
      <rPr>
        <sz val="10"/>
        <rFont val="Arial"/>
        <family val="2"/>
      </rPr>
      <t>Not in Employment Education or Training (NEET)
Average future annual costs per individual related to earlier NEET status - females; fiscal cost to HMRC</t>
    </r>
  </si>
  <si>
    <r>
      <rPr>
        <sz val="10"/>
        <rFont val="Arial"/>
        <family val="2"/>
      </rPr>
      <t>Not in Employment Education or Training (NEET)
Average future annual costs per individual related to earlier NEET status - females; fiscal cost to DWP</t>
    </r>
  </si>
  <si>
    <t>This is the element of the above fiscal cost falling to the Department for Work and Pensions.  It relates to benefits payments associated with spells of future worklessness as a result of time spent NEET as a young female.</t>
  </si>
  <si>
    <t>This is the element of the above fiscal cost falling to HM Revenue and Customs.  It relates to foregone tax and National Insurance payments associated with time spent NEET as a young female, resulting from lower wages (£712 pa at 2010/11 prices) and future worklessness (£818).</t>
  </si>
  <si>
    <t>E&amp;E3.8</t>
  </si>
  <si>
    <t>E&amp;E3.9</t>
  </si>
  <si>
    <t>E&amp;E6.3</t>
  </si>
  <si>
    <t>E&amp;E7.2</t>
  </si>
  <si>
    <t>E&amp;E9.0</t>
  </si>
  <si>
    <t>E&amp;E9.1</t>
  </si>
  <si>
    <t>E&amp;E9.2</t>
  </si>
  <si>
    <t>E&amp;E10.0</t>
  </si>
  <si>
    <t>E&amp;E10.1</t>
  </si>
  <si>
    <t>NEETs</t>
  </si>
  <si>
    <t>E&amp;E6.4</t>
  </si>
  <si>
    <t>This cost covers many interactions with people across the duration of their claim. It includes contacts about changes of circumstances or compliance checks that could affect eligibility, and the investigation of potential fraud and error. It also includes the making of payments and queries about non-receipt. The quoted data include the cost of all aspects of maintaining an application after the point that it is awarded, including those of terminating a claim.</t>
  </si>
  <si>
    <t>Carer's Allowance
Weekly payment</t>
  </si>
  <si>
    <t>Carer's Allowance
Cost of maintaining claims</t>
  </si>
  <si>
    <t>Carer's Allowance
Cost of processing each new claim for Carer's Allowance</t>
  </si>
  <si>
    <t>This is the element of the above fiscal cost falling to the Department of Work and Pensions.  It relates to worklessness and housing benefit payments.</t>
  </si>
  <si>
    <t>HM Revenue and Customs</t>
  </si>
  <si>
    <t>This is the element of the above fiscal cost falling to HM Revenue and Customs.  It relates to payments of Working Tax Credits and Child Tax Credits.</t>
  </si>
  <si>
    <t>This shows the additional trainee product - i.e. the economic value to business.  See the report for details on lag and drop off by sector. NOTE: apprentices will not achieve this full impact in Year 1</t>
  </si>
  <si>
    <t xml:space="preserve">ESA claimants who have been claiming for 13 weeks progress to the support group if they are assessed as unable to work in the Work Capability Assessment - i.e. their illness or disability severely limits what they can do.  </t>
  </si>
  <si>
    <t>Consultant (surgical) - cost per contract hour (excluding qualification costs)</t>
  </si>
  <si>
    <t>Consultant (psychiatric) - cost per contract hour (excluding qualification costs)</t>
  </si>
  <si>
    <t>Child taken into care - average fiscal cost across different types of care setting, England, per year</t>
  </si>
  <si>
    <t>Unit Costs of Health &amp; Social Care 2014 (Curtis, 2014), p.127</t>
  </si>
  <si>
    <t>CR4.3</t>
  </si>
  <si>
    <t>Case Manager / Youth Offending Team (YOT) practitioner - cost per hour</t>
  </si>
  <si>
    <t>A case manager is a Youth Offending Team (YOT) practitioner with case management responsibilities for particular young offenders.  This is the average cost per hour for such a practitioner, and is based upon research undertaken with YOT teams participating in the 2009 Juvenile Cohort Study (JCS).  The cost is derived from salary costs (including on-costs such as national insurance and pension contributions), plus an element to account for overheads (management and administration), and capital costs associated with offices/shared premises.  The source also quotes a cost of £45 per hour for case-related work, and £161 per hour of face-to-face contact (both at 2008-09 prices).</t>
  </si>
  <si>
    <t>Unit Costs in Criminal Justice (Brookes et al, 2013), p.65</t>
  </si>
  <si>
    <t>Residential rehabilitation consists of a range of treatment delivery models or programmes to address drug and alcohol misuse, including abstinence orientated drug interventions within the context of residential accommodation.  Other examples include inpatient treatment for the pharmacological management of substance misuse, and therapeutic residential services designed to address adolescent rehabilitation.  This is an average unit cost per week for a structured drug or alcohol treatment/rehabilitation programme delivered in a residential setting; it is based upon information from a sample of 34 residential rehabilitation programmes.  The source does not provide detail of the constituent costs that make up the total quoted (nor the main delivery agencies), hence the amber flag.</t>
  </si>
  <si>
    <t>Specialist prescribing</t>
  </si>
  <si>
    <t>This is the average cost per hour for counselling and psychotherapy and other 'talking therapies', delivered by trained practitioners who work with people over the short or long term to help them bring about effective change or enhance their wellbeing.  The Unit Costs of Health &amp; Social Care 2013 publication gives related costs per hour of client contact (£63) and per consultation (£58) (both quoted at 2012-13 prices).  The costs are derived from salary costs (including on-costs such as national insurance and pension contributions), plus an element to account for a proportion of overheads (management, admin, travel, telephone, supplies and services, utilities) and capital costs.</t>
  </si>
  <si>
    <t>The source quotes the average cost per meal provided by the local authority as £6.60, and per meal provided by the independent sector as £5.
More affluent individuals will pay for some/all of their meal costs - this element represents an economic cost to the individual, with the fiscal cost representing the costs falling to the local authority.  As with residential / nursing care, we have allocated two-thirds of home care costs as a fiscal cost falling to local authorities, and the remaining third as an economic cost falling to individual self-funders (see SS7.0 for more detail on how this split is derived).</t>
  </si>
  <si>
    <t>Unit Costs of Health &amp; Social Care 2014 (Curtis, 2014), p.103</t>
  </si>
  <si>
    <t>The Incredible Years series includes three interlocking training programmes for parents, children and teachers, which span the 0-12 year age range.  The data quoted here are for delivering a course of the Webster-Stratton Incredible Years basic parenting programme, and represent the total cost per child based on eight parents per group; the total cost per child with a group of 12 parents is £1,246.  Note that these data exclude set-up costs - if set-up costs are included, the total cost per child based on eight parents per group is £2,471, and for 12 parents per group, £1,647.  All costs quoted here are at 2013-14 prices.</t>
  </si>
  <si>
    <t>Outpatient attendance - average cost of outpatient attendance, paediatrics</t>
  </si>
  <si>
    <t>DWP modelling (unpublished)</t>
  </si>
  <si>
    <t>DWP estimate (unpublished)</t>
  </si>
  <si>
    <t>LABOUR COSTS</t>
  </si>
  <si>
    <t>Troubled Families Programme - Troubled Families Employment Adviser (TFEA), Executive Officer (EO) grade - average staffing cost (national average)</t>
  </si>
  <si>
    <t>Troubled Families Programme - Troubled Families Employment Adviser (TFEA), Higher Executive Officer (HEO) grade - average staffing cost (national average)</t>
  </si>
  <si>
    <t>Youth offender, average cost of a first time entrant (under 18) to the Criminal Justice System in the first year following the offence</t>
  </si>
  <si>
    <t>Source gives a (non-updated) cost range from £100 - £1,000 for ASB incidents of this kind (ranging from a call-out together with some remedial action, to significant mediation/remediation; falling short of issuing an ASBO, as not used very often).  An approximate average cost of £500 has been selected, and updated to account for inflation.  Note age of data.  Home Office suggest a Red RAG assessment due to the age of data and robustness of methodology.  However, there is no more recent national research in this area.
Note that this cost includes the cost of crimes and criminal justice activity in response; as a result, to avoid double-counting no additional costs of these types should be tacked on for the same incident of anti-social behaviour.</t>
  </si>
  <si>
    <t>Source gives a (non-updated) cost range from £20-£50 for ASB incidents of this kind - mid-point cost value (£35) has been selected, and updated to account for inflation.  Note age of data.  Home Office suggest a Red RAG assessment due to the age of data and robustness of methodology.  However, there is no more recent national research in this area.</t>
  </si>
  <si>
    <t>CR9.0</t>
  </si>
  <si>
    <t>Home office analysis (unpublished), based on CIPFA, HO, ASHE and ACPO data</t>
  </si>
  <si>
    <t>CR9.1</t>
  </si>
  <si>
    <t>CR9.2</t>
  </si>
  <si>
    <t>Police Officer, Inspector and above  - cost per hour</t>
  </si>
  <si>
    <t>Police officer, Sergeant and below - cost per hour</t>
  </si>
  <si>
    <t xml:space="preserve">This is the estimated average cost of an hour of a police officer's time, ranked Inspector and above.  It is derived from Home Office analysis of data from the Annual Survey of Hours and Earnings (ONS, 2014) on the pay and hours of police officers, typical rates of National Insurance and information on employer pension contributions from the Home Office’s Police Workforce and Capabilities Unit (2014).  The number of training, sick and leave days are obtained from ACPO statistics and the size of the police workforce from police workforce statistics.  Finally, an on-cost has been applied based on spending on premises, transport, supplies, services and training, which is obtained from CIPFA police actuals (12/13).
</t>
  </si>
  <si>
    <t>This is the estimated average cost of an hour of a police officer's time, ranked Sergeant and below.  It is derived from Home Office analysis of data from the Annual Survey of Hours and Earnings (ONS, 2014) on the pay and hours of police officers, typical rates of National Insurance and information on employer pension contributions from the Home Office’s Police Workforce and Capabilities Unit (2014).  The number of training, sick and leave days are obtained from ACPO statistics and the size of the police workforce from police workforce statistics.  Finally, an on-cost has been applied based on spending on premises, transport, supplies, services and training, which is obtained from CIPFA police actuals (12/13).</t>
  </si>
  <si>
    <t>This is the estimated average cost of an hour of a Police Community Support Officer's (PCSO) time.  It is derived from Home Office analysis of data from the Annual Survey of Hours and Earnings (ONS, 2014) on the pay and hours of police officers, typical rates of National Insurance and information on employer pension contributions from the Home Office’s Police Workforce and Capabilities Unit (2014).  The number of training, sick and leave days are obtained from ACPO statistics and the size of the police workforce from police workforce statistics.  Finally, an on-cost has been applied based on spending on premises, transport, supplies, services and training, which is obtained from CIPFA police actuals (12/13).</t>
  </si>
  <si>
    <t>Police Community Support Officer (PCSO) - cost per hour</t>
  </si>
  <si>
    <t>• GDP Lookup Tables can be amended for new releases by changing the column '% change on previous year'</t>
  </si>
  <si>
    <t>This is a constituent element to the above cost line on the average total cost of case management processes for children in need over a six month period.  It gives the average cost of an initial assessment of a referral that is deemed to meet the threshold for intervention.  This assessment establishes the needs of the family and develops a plan of support.
The cost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Statutory guidance ‘Working Together to Safeguard Children’ was revised in 2013, giving local authorities more flexibility when assessing children.  Previously, local authorities carried out an initial assessment within ten working days and (where needed) a more in-depth core assessment within 35 working days.  Local authorities now have the flexibility to carry out a single continuous assessment within 45 working days.  In 2013/14, 108 local authorities had changed to using single continuous assessments (see https://www.gov.uk/government/statistics/characteristics-of-children-in-need-2013-to-2014).  As these changes post-date the 2010 report from which these costs have been sourced, we recommend using this entry as a lower-bound estimate of the cost of a single assessment until research establishes a bespoke estimate for the single assessment itself.  
The estimated cost/saving for London authorities is £327.  The source also quotes data for an 'if child previously known to social care' scenario, with an out-of-London cost of £334 and a London cost of £402 (all costs at 2008-09 prices).
In addition to the hyperlinked source, see Holmes, L. and McDermid, S. (2012) Understanding costs and outcomes in child welfare services, London: Jessica Kingsley Publishers.</t>
  </si>
  <si>
    <t>This is a constituent element to the above cost line on the average total cost of case management processes for children in need over a six month period.  It gives the average cost of closing a case.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The quoted value is the 'standard cost' for out-of-London provision; the equivalent cost for London authorities is £239 (2008-09 prices).
In addition to the hyperlinked source, see Holmes, L. and McDermid, S. (2012) Understanding costs and outcomes in child welfare services, London: Jessica Kingsley Publishers.</t>
  </si>
  <si>
    <t>Children in Need - average total cost of case management processes over a six month period (standard cost)</t>
  </si>
  <si>
    <t>Children in Need, case management processes - average cost of initial contact and referral (standard cost)</t>
  </si>
  <si>
    <t>Children in Need, case management processes - average cost of initial assessment / single assessment (standard cost)</t>
  </si>
  <si>
    <t>Children in Need, case management processes - average cost of closing a case (standard cost)</t>
  </si>
  <si>
    <t>Children in Need, case management processes - average cost of core assessment (standard cost)</t>
  </si>
  <si>
    <t>Children in Need, case management processes - average cost of Child in Need plan review (standard cost)</t>
  </si>
  <si>
    <t>Children in Need, case management processes - average cost of Section 47 enquiry (standard cost)</t>
  </si>
  <si>
    <t>Children in Need, case management processes - average cost of Public Law Outline (standard cost)</t>
  </si>
  <si>
    <r>
      <t xml:space="preserve">This is a constituent element to the above cost line on the average total cost of case management processes for children in need over a six month period.  It gives the average cost of the activity undertaken from the point at which a concern is raised about a child or a referral comes into social care whereby a social worker, with their manager, decides on the next course of action.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The quoted value is an estimated cost/saving for out-of-London authorities; the estimated cost/saving for London authorities is £224.  The source also quotes data for initial contact and referral 'if no further action' is required, which has an estimated cost/saving for out-of-London authorities of £207 and London authorities of £249 (all costs at 2008-09 prices).
In addition to the hyperlinked source, see Holmes, L. and McDermid, S. (2012) </t>
    </r>
    <r>
      <rPr>
        <i/>
        <sz val="10"/>
        <color indexed="8"/>
        <rFont val="Arial"/>
        <family val="2"/>
      </rPr>
      <t>Understanding costs and outcomes in child welfare services</t>
    </r>
    <r>
      <rPr>
        <sz val="10"/>
        <color indexed="8"/>
        <rFont val="Arial"/>
        <family val="2"/>
      </rPr>
      <t>, London: Jessica Kingsley Publishers.</t>
    </r>
  </si>
  <si>
    <t>This is a constituent element to the above cost line on the average total cost of case management processes for children in need over a six month period.  It gives the average cost of undertaking a core assessment.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Statutory guidance ‘Working Together to Safeguard Children’ was revised in 2013, giving local authorities more flexibility when assessing children.  Previously, local authorities carried out an initial assessment within ten working days and (where needed) a more in-depth core assessment within 35 working days.  Local authorities now have the flexibility to carry out a single continuous assessment within 45 working days.  In 2013/14, 108 local authorities had changed to using single continuous assessments (see https://www.gov.uk/government/statistics/characteristics-of-children-in-need-2013-to-2014).  As these changes post-date the 2010 report from which these costs have been sourced, we recommend using this entry if the core assessment is still being carried out (it will remain in use by some local authorities in 2015-16).  Note that the 'headline' value (SS5.0) does not include the cost/saving associated with core assessments, and only includes the 'initial assessment / single assessment' value.
The quoted value is the 'standard cost' for out-of-London provision; the equivalent cost for London authorities is £703 (2008-09 prices).
In addition to the hyperlinked source, see Holmes, L. and McDermid, S. (2012) Understanding costs and outcomes in child welfare services, London: Jessica Kingsley Publishers.</t>
  </si>
  <si>
    <t>This is a constituent element to the above cost line on the average total cost of case management processes for children in need over a six month period.  It gives the cost of a review for children receiving support under Section 17 of the Children Act and outlined in a Children in Need plan.  This includes the time for preparation, follow up work undertaken, and the time spent at the actual meeting.  These plans are reviewed when appropriate.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The estimated cost/saving for London authorities is £268.  The source also quotes data for an 'if Child Protection case conference review' scenario, with an out-of-London cost of £378, and a London cost of £473 (all costs quoted in this cell are at 2008/09 prices).  Child Protection case conference reviews are undertaken for children subject to a Child Protection Plan, and consider whether the Child Protection Plan should continue or be changed.  This includes the time for preparation, follow up work undertaken, and the time spent at the actual meeting.  The first review should be held within three months of the initial child protection conference, and further reviews at intervals of no more than six months for as long as the child remains subject of a Child Protection Plan.
In addition to the hyperlinked source, see Holmes, L. and McDermid, S. (2012) Understanding costs and outcomes in child welfare services, London: Jessica Kingsley Publishers.</t>
  </si>
  <si>
    <t>This is a constituent element to the above cost line on the average total cost of case management processes for children in need over a six month period.  It gives the standard cost of an in-depth assessment of a child’s needs where there may be a child protection concern.  This includes the initial strategy discussion, a strategy meeting, an achieving best evidence interview, and the initial child protection conference, where appropriate.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The estimated cost/saving for London authorities is £614.  The source also quotes data for the following scenarios: out-of-London cost 'if strategy meeting held' is £661 (London £795); out-of-London cost 'including Achieving Best Evidence interview' is £889 (London £1,068) (all costs quoted in this cell are at 2008/09 prices).
In addition to the hyperlinked source, see Holmes, L. and McDermid, S. (2012) Understanding costs and outcomes in child welfare services, London: Jessica Kingsley Publishers.</t>
  </si>
  <si>
    <t>This is a constituent element to the above cost line on the average total cost of case management processes for children in need over a six month period.  It gives the average cost of a Public Law Outline, which is a special meeting instigated by the local authority if they feel that they cannot safely protect a child by a Child Protection Plan and are considering issuing care proceedings.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The quoted value is the 'standard cost' for out-of-London provision; the equivalent cost for London authorities is £2,687 (2008-09 prices).
In addition to the hyperlinked source, see Holmes, L. and McDermid, S. (2012) Understanding costs and outcomes in child welfare services, London: Jessica Kingsley Publishers.</t>
  </si>
  <si>
    <t>This is one of a set of data covering the average cost of Children in Need case management processes for children with varying needs.  The estimates come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This cost represents an average total cost for the entire case management process for all Children in Need participating in the sample used in the research study, regardless of level of need.  Comparable data for children with specific levels of need are as follows: Children in Need with no specified additional need type, £905; Children in Need under six years old, £1,387; Children who have a Child Protection Plan, £1,864; Children under six years old who have a Child Protection Plan, £3,069; Children in Need with emotional or behavioural difficulties, £1,494; Children in Need with emotional or behavioural difficulties and another factor, £3,205 (all costs quoted in this cell are at 2008/09 prices).  The constituent costs from which the overall costs are derived are outlined below.  Note that the study defines Children in Need in line with the Children Act 1989, constituting children who are identified as in need under Section 17 of the Act, but who remain with their families.  Although the constituent costs differentiate between London and out-of-London costs, this cost line provides an average cost/saving that is not differentiated by location, with the data representing an average across the local areas participating in the study (both within and outside London).
Note that the cost derivation is based upon the initial and core assessment processes detailed in the constituent cost lines.  Further research will be needed to derive a new average value based upon the single continuous assessment that incorporates both the initial and core assessments (see the Comment to constituent cost 5.0.2).  Users may wish to derive their own average aggregate cost, over a time period of their choosing, using a 'bottom up' approach and drawing on appropriate constituent costs and/or the alternative values provided in the Comment cells.
In addition to the hyperlinked source, see Holmes, L. and McDermid, S. (2012) Understanding costs and outcomes in child welfare services, London: Jessica Kingsley Publishers.</t>
  </si>
  <si>
    <t>Youth offender, prison 
Male closed Young Offenders Institute (ages 18-21), including central costs (costs per prisoner per annum)</t>
  </si>
  <si>
    <t>Unit Costs of Health and Social Care 2009 (Curtis, 2009), p.73</t>
  </si>
  <si>
    <t>Unit Costs of Health &amp; Social Care 2013 (Curtis, 2013), p.191</t>
  </si>
  <si>
    <t>Unit Costs of Health &amp; Social Care 2015 (Curtis, 2015), p.177</t>
  </si>
  <si>
    <t>Unit Costs of Health &amp; Social Care 2014 (Curtis, 2014), p.51</t>
  </si>
  <si>
    <t>New claims involve several interactions with the applicant and third parties such as ex-employers to, for example, assemble evidence to validate identity and eligibility in line with benefit regulations and fraud avoidance strategies, issue national insurance numbers if the applicant does not have one, and deal with any appeals against the decisions made.  The quoted data include the total cost for all aspects of processing an application up to the point that payments commence, but exclude the ongoing costs of maintaining the claim after this point (see above subsidiary cost). More recent unit costs are not included within the source due to the current overhaul on the gathering of information within DWP.</t>
  </si>
  <si>
    <t>This cost covers many interactions with people across the duration of their claim, including part of the fortnightly 'signing' meeting, contacts about changes of circumstances or compliance checks that could affect eligibility, and the investigation of potential fraud and error. It also includes the fortnightly making of payments and queries about non-receipt.  The quoted data represent the total cost for all aspects of maintaining an application after the point that payments commence, including those of terminating a claim. More recent unit costs are not included within the source due to the current overhaul on the gathering of information within DWP.</t>
  </si>
  <si>
    <t>To keep getting Jobseeker's Allowance (JSA) or National Insurance (NI) contribution credits, claimants normally have to attend a Jobcentre every two weeks to 'sign on'.  Part of this process is designed to ensure they have been looking for work by reviewing their job search activity.  The quoted data include arranging reviews, talking with claimants about what they have done to look for work, identifying any additional support needed, referring to vacancies, referring to Advisers, and maintaining the individual's job search record; they exclude any action arising during the review that relates to benefit, such as taking signatures or a change in circumstances (see subsidiary cost above). More recent unit costs are not included within the source due to the current overhaul on the gathering of information within DWP.</t>
  </si>
  <si>
    <t>Unit cost for provision of information, advice and support to jobseekers by Jobcentre Plus Advisers.  Advisers provide support not just to clients on Job Seekers Allowance, but also those in receipt of other benefits like Employment and Support Allowance and Income Support.  Interventions may last from a few minutes to over an hour, with costs covering arranging appointments, issuing invitations, conducting the interviews, referring to vacancies, following up and maintaining the person's labour market record.  They also include advising about and referring to Labour Market programmes such as the Work Programme, Access to Work and training programmes, but not the cost of the programmes themselves. More recent unit costs are not included within the source due to the current overhaul on the gathering of information within DWP.</t>
  </si>
  <si>
    <t>New claims involve several interactions with the applicant and third parties, such as medical professionals, to, for example, arrange and undertake medicals, assemble evidence to validate identity and eligibility in line with benefit regulations and fraud avoidance strategies, issue National Insurance numbers if the applicant does not have one, and deal with any appeals against the decisions made.  The quoted data represent the total cost for all aspects of processing an application up to the point that payments commence, but exclude the ongoing costs of maintaining a claim after this point (see subsidiary cost below). More recent unit costs are not included within the source due to the current overhaul on the gathering of information within DWP.</t>
  </si>
  <si>
    <t>This cost covers many interactions with people and third parties, such as medical professionals, across the duration of a claim.  It includes medical reviews, contacts about changes of circumstances or compliance checks that could affect eligibility, the investigation of potential fraud and error, and dealings with appeals against decisions made. It also includes the fortnightly making of payments and any queries about non-receipt.  The quoted data represent the total cost for all aspects of maintaining an application after the point that it is awarded, including those of terminating a claim. More recent unit costs are not included within the source due to the current overhaul on the gathering of information within DWP.</t>
  </si>
  <si>
    <t>This cost covers many interactions including contacts about changes of circumstances or compliance checks that could affect eligibility, and the investigation of potential fraud and error. It also includes the fortnightly making of payments and any queries about non-receipt.  The quoted data represent the total cost for all aspects of maintaining an application after the point that it is awarded, including those of terminating a claim. More recent unit costs are not included within the source due to the current overhaul on the gathering of information within DWP.</t>
  </si>
  <si>
    <t>This cost covers many interactions with people across the duration of their claim. It includes contacts about changes of circumstances or compliance checks that could affect eligibility, and the investigation of potential fraud and error. It also includes the making of payments and queries about non-receipt.  The quoted data represent the total cost for all aspects of maintaining an application after the point that it is awarded, including those of terminating a claim. More recent unit costs are not included within the source due to the current overhaul on the gathering of information within DWP.</t>
  </si>
  <si>
    <t>New claims involve several interactions with the applicant and third parties such as medical staff to, for example, assemble evidence to validate identity and eligibility in line with benefit regulations and fraud avoidance strategies, issue national insurance numbers if the applicant does not have one, and deal with any appeals against the decisions made.  The quoted data cover the total cost for all aspects of processing an application up to the point that payments commence, but exclude the ongoing costs of maintaining the claim (see above subsidiary cost). More recent unit costs are not included within the source due to the current overhaul on the gathering of information within DWP.</t>
  </si>
  <si>
    <t>New claims involve several interactions with the applicant and third parties such as medical staff to, for example, assemble evidence to validate identity and eligibility in line with benefit regulations and fraud avoidance strategies, issue National Insurance numbers if the applicant does not have one, and deal with any appeals against the decisions made.  The quoted data represent the total cost for all aspects of processing an application up to the point that payments commence, but exclude the ongoing costs of maintaining a claim after this point (see subsidiary cost below). More recent unit costs are not included within the source due to the current overhaul on the gathering of information within DWP.</t>
  </si>
  <si>
    <t>Unit Costs of Health &amp; Social Care 2014 (Curtis, 2014), p.88</t>
  </si>
  <si>
    <t>cba@greatermanchester-ca.gov.uk</t>
  </si>
  <si>
    <t>CR8.0.1</t>
  </si>
  <si>
    <t>Agency making the saving</t>
  </si>
  <si>
    <t>RAG</t>
  </si>
  <si>
    <t>GDP deflator</t>
  </si>
  <si>
    <t>This cost is based upon the Walby (2009) publication referenced in the source column, which gives data on the total cost of domestic violence (DV) in England and Wales to public services, along with the economic and human/emotional (social) costs.  An average fiscal cost per incident has been derived using data from the British Crime Survey (BCS) on the incidence of DV in England and Wales, which has been factored up to account for a substantial undercount in the main BCS (people are reluctant to answer sensitive questions face-to-face with an interviewer); a multiplier of x5 has been used, based on research in a related Walby report that found that the prevalence of DV identified in the more accurate BCS self-completion module was approximately five times greater than that reported in the face-to-face survey (see Walby, 2004: 'HO Research Study 276 - Domestic violence, sexual assault and stalking - findings from the BCS', p.112).  
The constituent fiscal costs reported in the rows below are derived from evidence on the profile of DV costs across public agencies given in an earlier (2004) Walby report, 'The Cost of Domestic Violence'; this profile was then applied to the updated total cost in the 2009 Walby publication.  Note that the Walby costs are per incident over the lifetime of the victim - we have assumed that the identified fiscal costs are, in the main, likely to be expended relatively soon after the incident, and can therefore be considered as an annual fiscal cost per incident.  Depending on your use of the fiscal unit cost, care should be taken to avoid double-counting - for example, if modelling alongside outcomes relating to child protection and/or statutory homelessness, you may need to exclude the social services and housing services constituent costs detailed here.  
The economic and social costs associated with DV are also derived from Walby's 2009 update paper and 2004 report, following the same approach used to derive the fiscal costs.  The economic cost per incident comprises costs to individual victims of £818, and to employers of £655, related to time off work due to injuries (and also, for individuals, travel/lost wages for GP visits, prescription charges, the cost of setting up new homes/re-possession following divorce and separation due to DV, and civil/legal costs).  The social cost per incident is based upon the human and emotional cost associated with DV (Walby derives this from estimates of what people would pay to avoid injuries/trauma relating to DV).  As with the fiscal costs, we can assume that the economic costs are relatively short-term, so can be considered as an annual economic cost per incident; however, the social costs may be longer-term, particularly in terms of mental health issues, which could endure over the victim's lifetime.  A red flag has been applied to the costs, given the age of the data, the assumptions involved and the lower level of confidence that can be attached to the data used to derive the per incident values.
Finally, note that this cost includes the cost of individual crimes and criminal justice activity in response; as a result, to avoid double-counting no additional costs of these types should be tacked on for the same incident of Domestic Violence.</t>
  </si>
  <si>
    <t>This is the average fiscal cost per incident of domestic violence (DV) falling to health agencies.  It comprises the following constituent elements per incident: hospital and ambulance costs, £979; costs borne by mental health agencies, £149; prescription costs (excluding those paid for by individuals), £22; GP costs, £21 (all at 08-09 prices).  See the comments cell for the headline entry above for information on how the costs have been derived, source details, and economic and social costs; it also explains why a red flag has been applied to the quoted cost.</t>
  </si>
  <si>
    <t>This is the average fiscal cost per incident of domestic violence (DV) falling to the criminal justice system; note that it excludes costs to the police, which are detailed in the constituent cost line below.  It comprises costs falling to prosecution services, courts, probation and prisons, and civil and legal costs (e.g. legal aid) borne by the state.  See the comments cell for the headline entry above for information on how the costs have been derived, source details, and economic and social costs; it also explains why a red flag has been applied to the quoted cost.</t>
  </si>
  <si>
    <t>This is the average fiscal cost per incident of domestic violence (DV) falling to the police.  See the comments cell for the headline entry above for information on how the costs have been derived, source details, and economic and social costs; it also explains why a red flag has been applied to the quoted cost.</t>
  </si>
  <si>
    <t>This is the average fiscal cost per incident of domestic violence (DV) falling to local authority social services, and specifically to children's services.  It represents the cost per incident relating to social services provision for children of DV victims.  See the comments cell for the headline entry above for information on how the costs have been derived, source details, and economic and social costs; it also explains why a red flag has been applied to the quoted cost.</t>
  </si>
  <si>
    <t>This is the average fiscal cost per incident of domestic violence (DV) falling to local authority housing services.  It comprises the following constituent elements per incident: refuges/emergency accommodation, £44; Housing Benefit paid to DV victims accepted as homeless, £32; temporary housing provided to those registered as homeless due to DV, £29; setting up new homes met by Community Care awards, £5 (all at 08-09 prices).  It excludes average costs per incident falling to individual victims related to setting up new homes/re-possession following divorce and separation due to DV (£24, also at 08-09 prices), which are economic rather than fiscal costs (see the economic cost and comment cell for the headline entry above).  Also see the comments cell for the headline entry above for information on how the costs have been derived, source details, and wider economic and social costs; it also explains why a red flag has been applied to the quoted cost.</t>
  </si>
  <si>
    <t>This is a constituent cost to the headline measure above, and is the cost saving to the health and social care system associated with delivery of a structured drug treatment programme - these savings are realised from reduced demand for health care services (including hospital inpatient, outpatient and community-based services, but excluding structured drug treatment provision.  Needle exchange and drug-related advice services outside of a structured drug treatment programme are included) and social services (particularly costs related to children in care, but note that accommodation costs for hostels/drop-in centres are also included within this category).  The cost is sourced from the Home Office's 2009 Drug Treatment Outcomes Research Study (DTORS), although the data are quoted at 2006-07 prices - hence the red flag.  The study derived the costs by comparing the outcomes from a group receiving structured drug treatment with a constructed comparison group.  Note that DTORS quotes average findings across all individuals receiving triage assessment and a care plan for structured drug treatment, regardless of whether they took up or completed this treatment.  Structured drug treatment (Tier 3 and 4) comprises inpatient drug treatment, specialist and GP prescribing, counselling, structured day programmes, residential rehabilitation, structured alcohol interventions and other structured interventions.  Needle exchange and drug-related advice services (which comprise unstructured treatment, Tiers 1 and 2) are excluded.  Data are weighted to be representative of adult drug-treatment seekers in England, across all drug types, severity of use, type of referral into treatment, and prior experience of treatment.  The source quotes costs for a 51-week period; the data given here have been annualised.</t>
  </si>
  <si>
    <t>Sourced from the 2009 PSSRU 'Unit Costs of Health and Social Care' publication - note that this measure is not included in more recent editions.  Methadone programmes are generally provided by NHS community drug teams, either based on a hospital site or in the community; a small number of programmes were provided by GP surgeries.  The source quotes (at 2008-09 prices) methadone costs of £26 per patient per week (including the cost of prescriptions, any pharmacist dispensing fees, and any toxicology tests), along with related capital and revenue cost of £33 per patient per week (covering buildings and land, equipment and durables, staff costs, supplies and services, and site and agency overheads).  However, there was considerable variance in unit cost across the 15 programmes considered for the research, ranging from £10 to £137 per week (2008-09 prices) - this, and the age of the data, have resulted in a red flag being applied.</t>
  </si>
  <si>
    <t>This is the national (English) average cost for needle exchange per service user contact.  It is sourced from the National Drug Treatment Monitoring System (NDTMS) 'Unit Costs Report - Regional and National Totals', which is based upon financial information on community drug treatment from the NHS Costing Manual; the data comprise pay, non-pay and indirect costs.  Note that users are required to register before being granted access to this and other resources on the NDTMS website.  Note also the age of the data - hence the red flag.</t>
  </si>
  <si>
    <t>This is the national (English) average cost per service user contact for drug advice and information (across a range of different eligible providers).  It is sourced from the National Drug Treatment Monitoring System (NDTMS) 'Unit Costs Report - Regional and National Totals', which is based upon financial information on community drug treatment from the NHS Costing Manual; the data comprise pay, non-pay and indirect costs.  Note that users are required to register before being granted access to this and other resources on the NDTMS website.  Note also the age of the data - hence the red flag.</t>
  </si>
  <si>
    <t>This is the national (English) average cost per day in treatment for access to a structured day programme for drug misusers ('days in treatment' is defined as the number of days between the intervention start date and the intervention end date for those having an open intervention).   It is sourced from the National Drug Treatment Monitoring System (NDTMS) 'Unit Costs Report - Regional and National Totals', which is based upon financial information on community drug treatment from the NHS Costing Manual; the data comprise pay, non-pay and indirect costs.  Note that users are required to register before being granted access to this and other resources on the NDTMS website.  Note also the age of the data - hence the red flag.  The source also quotes an average annual cost per service user in treatment of £1,500 (2007-08 prices).</t>
  </si>
  <si>
    <t>This is the national (English) average cost per service user contact for drug outreach services.  It is sourced from the National Drug Treatment Monitoring System (NDTMS) 'Unit Costs Report - Regional and National Totals', which is based upon financial information on community drug treatment from the NHS Costing Manual; the data comprise pay, non-pay and indirect costs.  Note that users are required to register before being granted access to this and other resources on the NDTMS website.  Note also the age of the data - hence the red flag.</t>
  </si>
  <si>
    <t xml:space="preserve">This is the national (English) average annual salary for a drug worker.  It is sourced from the National Drug Treatment Monitoring System (NDTMS) 'Unit Costs Report - Regional and National Totals', which is based upon financial information on community drug treatment from the NHS Costing Manual; the data comprise pay, non-pay and indirect costs.  Note that users are required to register before being granted access to this and other resources on the NDTMS website; note also the age of the data - hence the red flag.  It is not clear from the source whether this sum comprises total employment costs, including on-costs, qualifications and training, overheads, etc., or simply constitutes salary costs - the latter is more likely.  Costs are also available at regional level.  </t>
  </si>
  <si>
    <t>This is a constituent cost to the above headline measure and represents the average annual fiscal cost to the NHS of service provision per adult suffering from depression and anxiety disorders.  Further information is given in the comments cell for the headline cost.  A red flag has been applied, in recognition of the age of the data (2007-08).</t>
  </si>
  <si>
    <t>This is a constituent cost to the above headline measure and represents the average annual fiscal cost to the local authority of service provision (supported accommodation; social services) per adult suffering from depression and anxiety disorders.  Further information is given in the comments cell for the headline cost.  A red flag has been applied, in recognition of the age of the data (2007-08).</t>
  </si>
  <si>
    <t>This is a constituent cost to the above subsidiary measure and represents the average annual fiscal cost to the local authority of service provision (supported accommodation/sheltered accommodation/residential care; social services) per adult suffering from any type of mental health disorder, including dementia.  Further information is given in the comments cell for the subsidiary cost above.  A red flag has been applied, in recognition of the age of the data (2007-08).</t>
  </si>
  <si>
    <t>This is a constituent cost to the above subsidiary measure and represents the average annual fiscal cost to the NHS of service provision per adult suffering from any type of mental health disorder, including dementia.  Further information is given in the comments cell for the subsidiary cost above.  A red flag has been applied, in recognition of the age of the data (2007-08).</t>
  </si>
  <si>
    <t>This is a constituent cost to the above subsidiary measure and represents the average annual fiscal cost to the criminal justice system of service provision (prison costs related to schizophrenic disorders) per adult suffering from any type of mental health disorder, including dementia.  Further information is given in the comments cell for the subsidiary cost above.  A red flag has been applied, in recognition of the age of the data (2007-08).</t>
  </si>
  <si>
    <t>This is a constituent cost to the above subsidiary measure and represents the average annual fiscal cost to the NHS of service provision per adult suffering from any type of mental health disorder, excluding dementia.  Further information is given in the comments cell for the subsidiary cost above.  A red flag has been applied, in recognition of the age of the data (2007-08).</t>
  </si>
  <si>
    <t>This is a constituent cost to the above subsidiary measure and represents the average annual fiscal cost to the local authority of service provision (supported accommodation/sheltered accommodation/residential care; social services) per adult suffering from any type of mental health disorder, excluding dementia.  Further information is given in the comments cell for the subsidiary cost above.  A red flag has been applied, in recognition of the age of the data (2007-08).</t>
  </si>
  <si>
    <t>This is a constituent cost to the above subsidiary measure and represents the average annual fiscal cost to the criminal justice system of service provision (prison costs related to schizophrenic disorders) per adult suffering from any type of mental health disorder, excluding dementia.  Further information is given in the comments cell for the subsidiary cost above.  A red flag has been applied, in recognition of the age of the data (2007-08).</t>
  </si>
  <si>
    <t>This is a constituent cost to the above subsidiary measure and represents the average annual fiscal cost to the NHS of service provision per adult suffering from depression.  Further information is given in the comments cell for the subsidiary cost above.  A red flag has been applied, in recognition of the age of the data (2007-08).</t>
  </si>
  <si>
    <t>This is a constituent cost to the above subsidiary measure and represents the average annual fiscal cost to the local authority of service provision (supported accommodation, social services) per adult suffering from depression.  Further information is given in the comments cell for the subsidiary cost above.  A red flag has been applied, in recognition of the age of the data (2007-08).</t>
  </si>
  <si>
    <t>This is a constituent cost to the above subsidiary measure and represents the average annual fiscal cost to the NHS of service provision per adult suffering from anxiety disorders.  Further information is given in the comments cell for the subsidiary cost above.  A red flag has been applied, in recognition of the age of the data (2007-08).</t>
  </si>
  <si>
    <t>This is a constituent cost to the above subsidiary measure and represents the average annual fiscal cost to the local authority of service provision (supported accommodation, social services) per adult suffering from anxiety disorders.  Further information is given in the comments cell for the subsidiary cost above.  A red flag has been applied, in recognition of the age of the data (2007-08).</t>
  </si>
  <si>
    <t>This is a constituent cost to the above subsidiary measure and represents the average annual fiscal cost to the NHS of service provision per adult suffering from schizophrenic disorders.  Further information is given in the comments cell for the subsidiary cost above.  A red flag has been applied, in recognition of the age of the data (2007-08).</t>
  </si>
  <si>
    <t>This is a constituent cost to the above subsidiary measure and represents the average annual fiscal cost to the local authority of service provision (residential care; social services) per adult suffering from schizophrenic disorders.  Further information is given in the comments cell for the subsidiary cost above.  A red flag has been applied, in recognition of the age of the data (2007-08).</t>
  </si>
  <si>
    <t>This is a constituent cost to the above subsidiary measure and represents the average annual fiscal cost to the criminal justice system of service provision (prison costs) per adult suffering from schizophrenic disorders.  Further information is given in the comments cell for the subsidiary cost above.  A red flag has been applied, in recognition of the age of the data (2007-08).</t>
  </si>
  <si>
    <t>This is a constituent cost to the above subsidiary measure and represents the average annual fiscal cost to the NHS of service provision per adult suffering from bipolar disorder and related conditions.  Further information is given in the comments cell for the subsidiary cost above.  A red flag has been applied, in recognition of the age of the data (2007-08).</t>
  </si>
  <si>
    <t>This is a constituent cost to the above subsidiary measure and represents the average annual fiscal cost to the local authority of service provision (residential care, social services) per adult suffering from bipolar disorder and related conditions.  Further information is given in the comments cell for the subsidiary cost above.  A red flag has been applied, in recognition of the age of the data (2007-08).</t>
  </si>
  <si>
    <t>This is the average annual fiscal cost of service provision per adult suffering from personality disorder.  It is an average of all service costs relating to people with personality disorders in contact with GPs due to their condition (unlike other constituent costs in this section, it does not include people who do not access service provision, and cannot therefore be considered a representative cost for all people suffering from personality disorders).  In addition, the economic value quoted relates to lost earnings; other social costs (e.g. from reduced well-being) are not monetised in the King's Fund report.  All (100%) of the fiscal cost quoted falls to the NHS, comprising the following areas: prescribed drugs; inpatient care; outpatient visits; and GP contacts.  Note that criminal justice system costs are not included, but could be significant.  A red flag has been applied, in recognition of the age of the data (2007-08).</t>
  </si>
  <si>
    <t>This is the average annual fiscal cost of service provision per person suffering from dementia (the average is based on the estimated prevalence of dementia, including both diagnosed and undiagnosed cases, and those accessing/not accessing services; it covers Alzheimer’s disease, vascular dementia, fronto-temporal dementia, dementia with Lewy bodies and mixed dementia).  In addition, the economic value quoted falls to informal carers; the source assumes that there are no wider economic costs relating to lost earnings (the majority of dementia sufferers are beyond working age).  There will also be associated social costs (e.g. from reduced well-being); these are not monetised in the King's Fund report.  As shown in the constituent measures below, the quoted value comprises fiscal costs to the NHS (12.5%) and local authority (87.5%).  A red flag has been applied, in recognition of the age of the data (2007-08).</t>
  </si>
  <si>
    <t>This is a constituent cost to the above subsidiary measure and represents the average annual fiscal cost to the local authority of service provision (supported accommodation/residential care, day care, social services) per adult suffering from dementia.  Further information is given in the comments cell for the subsidiary cost above.  A red flag has been applied, in recognition of the age of the data (2007-08).</t>
  </si>
  <si>
    <t>This is a constituent cost to the above subsidiary measure and represents the average annual fiscal cost to the NHS of service provision per adult suffering from dementia.  Further information is given in the comments cell for the subsidiary cost above.  A red flag has been applied, in recognition of the age of the data (2007-08).</t>
  </si>
  <si>
    <t>This is the average annual cost of service provision for children/adolescents aged 5-15 suffering from mental health disorders (including hyperkinetic disorders, conduct disorders and emotional disorders; excluding learning difficulties/disabilities).  Note that it represents only the fiscal cost to public agencies (no wider economic costs relating to lost earnings are detailed in the source, given the age of the cohort).  There will also be associated social costs (e.g. from reduced well-being); these are not monetised in the King's Fund report.  All (100%) of the fiscal cost quoted falls to the NHS, comprising the following areas: prescribed drugs; inpatient care; GP contacts; A&amp;E visits; and outpatient attendances.  A red flag has been applied, in recognition of the age of the data (2007-08).</t>
  </si>
  <si>
    <t>This is a constituent cost to the above headline measure and represents the average annual fiscal cost to the local authority of service provision (supported accommodation/sheltered accommodation/residential care; social services) per person suffering from any type of mental health disorder, including dementia - it is the average across all age groups, including children, adolescents and adults (but excluding children under five years of age).  Further information is given in the comments cell for the subsidiary cost above.  A red flag has been applied, in recognition of the age of the data (2007-08).</t>
  </si>
  <si>
    <t>This is a constituent cost to the above headline measure and represents the average annual fiscal cost to the NHS of service provision per person suffering from any type of mental health disorder, including dementia - it is the average across all age groups, including children, adolescents and adults (but excluding children under five years of age).  Further information is given in the comments cell for the subsidiary cost above.  A red flag has been applied, in recognition of the age of the data (2007-08).</t>
  </si>
  <si>
    <t>This is a constituent cost to the above headline measure and represents the average annual fiscal cost to the criminal justice system of service provision (prison costs related to schizophrenic disorders) per person suffering from any type of mental health disorder, including dementia - it is the average across all age groups, including children, adolescents and adults (but excluding children under five years of age).  Further information is given in the comments cell for the subsidiary cost above.  A red flag has been applied, in recognition of the age of the data (2007-08).</t>
  </si>
  <si>
    <t>This is the average annual fiscal cost of service provision per person suffering from any type of mental health disorder, excluding dementia (it may be useful to separate out dementia from other mental health costs, due to: the differing nature of dementia from other mental health disorders, and the largely elderly cohort of dementia sufferers; and the disproportionate impact that the inclusion of dementia has on average values, given its high cost and prevalence).  It is the average across all age groups, including children, adolescents and adults (but excluding children under five years of age).  In addition, the economic value quoted comprises lost earnings (£3,236 per person on average, at 2007-08 prices) and costs falling to informal carers (an estimated £126 per person); other social costs (e.g. from reduced well-being) are not monetised in the King's Fund report.  As shown in the constituent measures below, the cost comprises fiscal costs to the NHS (87%), local authority (11%) and criminal justice system (2%).  A red flag has been applied, in recognition of the age of the data (2007-08).</t>
  </si>
  <si>
    <t>This is a constituent cost to the above subsidiary measure and represents the average annual fiscal cost to the NHS of service provision per person suffering from any type of mental health disorder, excluding dementia - it is the average across all age groups, including children, adolescents and adults (but excluding children under five years of age).  Further information is given in the comments cell for the subsidiary cost above.  A red flag has been applied, in recognition of the age of the data (2007-08).</t>
  </si>
  <si>
    <t>This is a constituent cost to the above subsidiary measure and represents the average annual fiscal cost to the local authority of service provision (supported accommodation/sheltered accommodation/residential care; social services) per person suffering from any type of mental health disorder, excluding dementia - it is the average across all age groups, including children, adolescents and adults (but excluding children under five years of age).  Further information is given in the comments cell for the subsidiary cost above.  A red flag has been applied, in recognition of the age of the data (2007-08).</t>
  </si>
  <si>
    <t>This is a constituent cost to the above subsidiary measure and represents the average annual fiscal cost to the criminal justice system of service provision (prison costs related to schizophrenic disorders) per person suffering from any type of mental health disorder, including dementia - it is the average across all age groups, including children, adolescents and adults (but excluding children under five years of age).  Further information is given in the comments cell for the subsidiary cost above.  A red flag has been applied, in recognition of the age of the data (2007-08).</t>
  </si>
  <si>
    <r>
      <t xml:space="preserve">This entry has been derived from data in the Scuffham </t>
    </r>
    <r>
      <rPr>
        <i/>
        <sz val="10"/>
        <color indexed="8"/>
        <rFont val="Arial"/>
        <family val="2"/>
      </rPr>
      <t xml:space="preserve">et al </t>
    </r>
    <r>
      <rPr>
        <sz val="10"/>
        <color indexed="8"/>
        <rFont val="Arial"/>
        <family val="2"/>
      </rPr>
      <t>paper, which gives a breakdown of unit costs across different age groups for different types of fall (see p.741), but does not give an average across all types of fall for all age groups above 60.  This cost addresses this by providing a weighted average, which has been calculated using ONS 2010 Mid-Year Population Estimates data for the UK, and data for hospital admissions per 10,000 population as given on p.742 of the source (detailed workings can be made available on request).  With reference to specific age groups, the average cost of hospital admission due to injuries sustained from any type of fall for people aged 60-64 is £1,535; for 65-69 year olds it is £1,619; for 70-74 year olds it is £2,109; and for over-75s it is £2,070.  Costs for different types of fall (and age groups) are given in the constituent costs detailed below.  Note that the data reported in the source are old and should be used with caution, hence the red flag applied.</t>
    </r>
  </si>
  <si>
    <t xml:space="preserve">This is a constituent cost to the subsidiary measure above which gives the cost of hospital admission for any type of fall.  Similarly, this entry has been derived from data in the Scuffham et al paper, and details the cost of hospital admission due to injury from a fall on the same level, occurring as a result of (e.g.) a slip, trip or stumble.  The source gives a breakdown of unit costs across different age groups for this type of fall, but does not give an average for all age groups above 60.  This cost addresses this by providing a weighted average, which has been calculated using ONS 2010 Mid-Year population estimates data for the UK and data for hospital admissions per 10,000 population as given on p.742 of the source (detailed workings can be made available on request).  The source outlines how the cost varies for different age groups (see p.741): the average cost of hospital admission due to injuries sustained from a fall on the same level for people aged 60-64 is £1,621; for 65-69 year olds it is £1,742; for 70-74 year olds it is £2,406; and for over-75s it is £2,490.  Note that the data reported in the source are old and should be used with caution, hence the red flag applied.                                          </t>
  </si>
  <si>
    <t xml:space="preserve">This is a constituent cost to the subsidiary measure above which gives the cost of hospital admission for any type of fall.  Similarly, this entry has been derived from data in the Scuffham et al paper, and details the cost of hospital admission due to injury from a fall on or from stairs or steps.  The source gives a breakdown of unit costs across different age groups for this type of fall, but does not give an average for all age groups above 60.  This cost addresses this by providing a weighted average, which has been calculated using ONS 2010 Mid-Year population estimates data for the UK and data for hospital admissions per 10,000 population as given on p.742 of the source (detailed workings can be made available on request).  The source outlines how the cost varies for different age groups (see p.741): the average cost of hospital admission due to injuries sustained from a fall on or from stairs or steps for people aged 60-64 is £1,520; for 65-69 year olds it is £1,571; for 70-74 year olds it is £2,166; and for over-75s it is £2,189.  Note that the data reported in the source are old and should be used with caution, hence the red flag applied.                                          </t>
  </si>
  <si>
    <t xml:space="preserve">This is a constituent cost to the subsidiary measure above which gives the cost of hospital admission for any type of fall.  Similarly, this entry has been derived from data in the Scuffham et al paper, and details the cost of hospital admission due to injury from one level to another.  The source gives a breakdown of unit costs across different age groups for this type of fall, but does not give an average for all age groups above 60.  This cost addresses this by providing a weighted average, which has been calculated using ONS 2010 Mid-Year population estimates data for the UK and data for hospital admissions per 10,000 population as given on p.742 of the source (detailed workings can be made available on request).  The source outlines how the cost varies for different age groups (see p.741): the average cost of hospital admission due to injuries sustained from a fall on the same level for people aged 60-64 is £1,707; for 65-69 year olds it is £1,792; for 70-74 year olds it is £2,133; and for over-75s it is £2,236.  Note that the data reported in the source are old and should be used with caution, hence the red flag applied.                                           </t>
  </si>
  <si>
    <t xml:space="preserve">This is a constituent cost to the subsidiary measure above which gives the cost of hospital admission for any type of fall.  Similarly, this entry has been derived from data in the Scuffham et al paper, and details the cost of hospital admission due to injury from an unspecified fall (i.e. the nature of the fall is not known/recorded).  The source gives a breakdown of unit costs across different age groups for this type of fall, but does not give an average for all age groups above 60.  This cost addresses this by providing a weighted average, which has been calculated using ONS 2010 Mid-Year population estimates data for the UK and data for hospital admissions per 10,000 population as given on p.742 of the source (detailed workings can be made available on request).  The source outlines how the cost varies for different age groups (see p.741): the average cost of hospital admission due to injuries sustained from an unspecified fall for people aged 60-64 is £1,453; for 65-69 year olds it is £1,521; for 70-74 year olds it is £1,932; and for over-75s it is £1,876.  The paper indicates that 53% of the total cost of falls amongst older people (60+) is due to falls of an unspecified type, although across all age groups the most common type of fall is 'falls on the same level' (slip/trip/stumble).  Note that the data reported in the source are old and should be used with caution, hence the red flag applied.                                           </t>
  </si>
  <si>
    <t>This is the national (English) average cost per service user contact for drug aftercare services.   It is sourced from the National Drug Treatment Monitoring System (NDTMS) 'Unit Costs Report - Regional and National Totals', which is based upon financial information on community drug treatment from the NHS Costing Manual; the data comprise pay, non-pay and indirect costs.  Note that users are required to register before being granted access to this and other resources on the NDTMS website.  Note also the age of the data - hence the red flag.</t>
  </si>
  <si>
    <t>Electricity - Long Run Variable Cost (LRVC) - Domestic</t>
  </si>
  <si>
    <t>p/Kwh</t>
  </si>
  <si>
    <t>ENVIRONMENT</t>
  </si>
  <si>
    <t>ENERGY</t>
  </si>
  <si>
    <t>EV1.0</t>
  </si>
  <si>
    <t>Green Book supplementary guidance: valuation of energy use and greenhouse gas emissions for appraisal - Data Table 9</t>
  </si>
  <si>
    <t>Private Sector</t>
  </si>
  <si>
    <t>Electricity - Long Run Variable Cost (LRVC) - Commercial</t>
  </si>
  <si>
    <t>Electricity - Long Run Variable Cost (LRVC) - Industrial</t>
  </si>
  <si>
    <t>Electricity - Retail Price - Domestic</t>
  </si>
  <si>
    <t>Green Book supplementary guidance: valuation of energy use and greenhouse gas emissions for appraisal - Data Table 4</t>
  </si>
  <si>
    <t>EV2.0</t>
  </si>
  <si>
    <t>EV2.1</t>
  </si>
  <si>
    <t>EV2.2</t>
  </si>
  <si>
    <t>Electricity - Retail Price - Commercial</t>
  </si>
  <si>
    <t>Electricity - Retail Price - Industrial</t>
  </si>
  <si>
    <t>EV2.3</t>
  </si>
  <si>
    <t>EV2.4</t>
  </si>
  <si>
    <t>EV2.5</t>
  </si>
  <si>
    <t>EV2.6</t>
  </si>
  <si>
    <t>EV2.7</t>
  </si>
  <si>
    <t>EV2.8</t>
  </si>
  <si>
    <t>CARBON</t>
  </si>
  <si>
    <t>Green Book supplementary guidance: valuation of energy use and greenhouse gas emissions for appraisal - Data Table 1</t>
  </si>
  <si>
    <t>EV3.0</t>
  </si>
  <si>
    <t>Gas - Long Run Variable Cost (LRVC) - Domestic</t>
  </si>
  <si>
    <t>EV3.1</t>
  </si>
  <si>
    <t>EV3.2</t>
  </si>
  <si>
    <t>Gas - Long Run Variable Cost (LRVC) - Commercial</t>
  </si>
  <si>
    <t>Gas - Long Run Variable Cost (LRVC) - Industrial</t>
  </si>
  <si>
    <t>Green Book supplementary guidance: valuation of energy use and greenhouse gas emissions for appraisal - Data Table 10</t>
  </si>
  <si>
    <t>EV3.3</t>
  </si>
  <si>
    <t>EV3.5</t>
  </si>
  <si>
    <t>EV3.6</t>
  </si>
  <si>
    <t>EV3.7</t>
  </si>
  <si>
    <t>EV3.8</t>
  </si>
  <si>
    <t>Gas - Retail Price - Domestic</t>
  </si>
  <si>
    <t>Gas - Retail Price - Commercial</t>
  </si>
  <si>
    <t>Green Book supplementary guidance: valuation of energy use and greenhouse gas emissions for appraisal - Data Table 5</t>
  </si>
  <si>
    <t>Green Book supplementary guidance: valuation of energy use and greenhouse gas emissions for appraisal - Data Table 2a</t>
  </si>
  <si>
    <t>EV4.0</t>
  </si>
  <si>
    <t>Petrol - Long Run Variable Cost (LRVC)</t>
  </si>
  <si>
    <t>EV4.1</t>
  </si>
  <si>
    <t>EV4.2</t>
  </si>
  <si>
    <t>Petrol - Retail Price (Weighted Average)</t>
  </si>
  <si>
    <t>Petrol - Carbon Emissions Cost</t>
  </si>
  <si>
    <t>Electricity - Carbon Emissions Costs - Industrial</t>
  </si>
  <si>
    <t>Electricity - Carbon Emissions Costs - Commercial</t>
  </si>
  <si>
    <t>Electricity - Carbon Emissions Costs - Domestic</t>
  </si>
  <si>
    <t>EV5.0</t>
  </si>
  <si>
    <t>EV5.1</t>
  </si>
  <si>
    <t>EV5.2</t>
  </si>
  <si>
    <t>Diesel Engine Road Vehicle (DERV) - Long Run Variable Cost (LRVC)</t>
  </si>
  <si>
    <t>Diesel Engine Road Vehicle (DERV) - Carbon Emissions Cost</t>
  </si>
  <si>
    <t>p/litre</t>
  </si>
  <si>
    <t>Green Book supplementary guidance: valuation of energy use and greenhouse gas emissions for appraisal - Data Table 8</t>
  </si>
  <si>
    <t>Green Book supplementary guidance: valuation of energy use and greenhouse gas emissions for appraisal - Data Table 13</t>
  </si>
  <si>
    <t>Diesel Engine Road Vehicle (DERV) - Retail Price</t>
  </si>
  <si>
    <t>Green Book supplementary guidance: valuation of energy use and greenhouse gas emissions for appraisal - Data Table 2b</t>
  </si>
  <si>
    <t>EV2.9</t>
  </si>
  <si>
    <t>Electricity - Air Quality Damage Cost</t>
  </si>
  <si>
    <t>Green Book supplementary guidance: valuation of energy use and greenhouse gas emissions for appraisal - Data Table 15</t>
  </si>
  <si>
    <t>Gas - Air Quality Damage Cost</t>
  </si>
  <si>
    <t>EV4.3</t>
  </si>
  <si>
    <t>Petrol - Car Air Quality Damage Costs (average of all regions)</t>
  </si>
  <si>
    <t>Diesel Engine Road Vehicle (DERV) - Car Air Quality Damage Costs (average of all regions)</t>
  </si>
  <si>
    <t>The damage costs quoted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As damage costs are assumed to change overtime, any appraisal which considers energy usage across multiple years should use the corresponding values from Table 15.</t>
  </si>
  <si>
    <t>Green Book supplementary guidance: valuation of energy use and greenhouse gas emissions for appraisal - Data Table 14</t>
  </si>
  <si>
    <t>EV6.0</t>
  </si>
  <si>
    <t>per tonne</t>
  </si>
  <si>
    <t>Oxides of Nitrogen (NOX) - Air Quality Damage Cost, Domestic Average</t>
  </si>
  <si>
    <t>EV6.1</t>
  </si>
  <si>
    <t>EV6.2</t>
  </si>
  <si>
    <t>EV7.0</t>
  </si>
  <si>
    <t>EV7.1</t>
  </si>
  <si>
    <t>EV7.2</t>
  </si>
  <si>
    <t>EV8.0</t>
  </si>
  <si>
    <t>EV9.0</t>
  </si>
  <si>
    <t>Ammonia (NH3) - Air Quality Damage Costs</t>
  </si>
  <si>
    <t>AIR QUALITY</t>
  </si>
  <si>
    <t>FUEL POVERTY</t>
  </si>
  <si>
    <t>EV10.0</t>
  </si>
  <si>
    <t>The DCLG Appraisal Guide, Annex F, Pg.88</t>
  </si>
  <si>
    <t>The Building Research Establishment (TBRE) has developed a model to estimate the impact of poor housing on the NHS. TBRE estimates the number of homes with Category 1 Housing Health and Safety Rating System (HHSRS) hazards and then estimates the cost to the NHS associated with them. The study estimates the direct (medical) costs to the NHS that are likely to result from the presence of these hazards, using NHS data on costs of treating and caring for related health conditions up to a year following a health incident.
There are 29 identified HHSRS hazards, including the risks from cold, damp, falls on stairs. Several of these costs are replicated here, but for the full selection, please refer to Annex F of the DCLG Appraisal Guidance. 
The economic value - reflecting the wider impacts of poor housing on the local economy, including through lost educational attainment or productivity - is derived via calculations by TBRE which estimate that the NHS cost represents 8% of the overall cost to society (see https://www.brebookshop.com/samples/327671.pdf for an executive summary).</t>
  </si>
  <si>
    <t>The Building Research Establishment (TBRE) has developed a model to estimate the impact of poor housing on the NHS. TBRE estimates the number of homes with Category 1 Housing Health and Safety Rating System (HHSRS) hazards and then estimates the cost to the NHS associated with them. The study estimates the direct (medical) costs to the NHS that are likely to result from the presence of these hazards, using NHS data on costs of treating and caring for related health conditions up to a year following a health incident.
There are 29 identified HHSRS hazards, including the risks from cold, damp, falls on stairs. Several of these costs are replicated here, but for the full selection, please refer to Annex F of the DCLG Appraisal Guidance. 
An annual saving of £96 over 30 years of overcrowding is equal to roughly £1.8k over 30 years.
The economic value - reflecting the wider impacts of poor housing on the local economy, including through lost educational attainment or productivity - is derived via calculations by TBRE which estimate that the NHS cost represents 8% of the overall cost to society (see https://www.brebookshop.com/samples/327671.pdf for an executive summary).</t>
  </si>
  <si>
    <t>Per category 1 hazard</t>
  </si>
  <si>
    <t>per category 1 hazard</t>
  </si>
  <si>
    <t>Excess Cold - average annual cost to healthcare services and to the local economy</t>
  </si>
  <si>
    <t>Excess Heat - average annual cost to healthcare services and to the local economy</t>
  </si>
  <si>
    <t>Overcrowding - average annual cost to healthcare services and to the local economy</t>
  </si>
  <si>
    <t>Carbon Monoxide - average annual cost to healthcare services and to the local economy</t>
  </si>
  <si>
    <t>Electrical Hazards - average annual cost to healthcare services and to the local economy</t>
  </si>
  <si>
    <t>RETROFIT</t>
  </si>
  <si>
    <t>EV11.0</t>
  </si>
  <si>
    <t>per metre²</t>
  </si>
  <si>
    <t>p/tCO²e</t>
  </si>
  <si>
    <t>Internal Wall Insulation (IWI) - cost per m² including materials and labour</t>
  </si>
  <si>
    <t>Domestic cost assumptions - what does it cost to retrofit homes? (BEIS, 2016) - Summary Tables</t>
  </si>
  <si>
    <t>EV12.0</t>
  </si>
  <si>
    <t>EV13.0</t>
  </si>
  <si>
    <t>EV14.0</t>
  </si>
  <si>
    <t xml:space="preserve">This is the cost, including materials and labour, of installing internal wall insulation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internal wall insulation. The source also provides low and high costs (representing the upper and lower limits of the range of costs supplied by organisations) at £55-£140.
The source also supplies estimates of the insulation cost for different household types, which are as follows - small flat (&lt;54m²) £2,800; large flat (&gt;54m²) £3,500; small mid-terrace house (&lt;76m²) £3,700; large mid-terrace house (&gt;76m²) £4,000; small semi-detached or end terrace house (&lt;80m²) £6,800; large semi-detached or end terrace house (&gt;80m²) £7,000; small detached house (&lt;117m²) £7,200; large detached house (&gt;117m²) £9,400; bungalow (around 117m²) £6,300.
</t>
  </si>
  <si>
    <t xml:space="preserve">This is the cost, including materials and labour, of installing external wall insulation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external wall insulation. The source also provides low and high costs (representing the upper and lower limits of the range of costs supplied by organisations) at £55-£180.
The source also supplies estimates of the insulation cost for different household types, which are as follows - small flat (&lt;54m²) £5,300; large flat (&gt;54m²) £6,700; small mid-terrace house (&lt;76m²) £6,800; large mid-terrace house (&gt;76m²) £7,500; small semi-detached or end terrace house (&lt;80m²) £7,800; large semi-detached or end terrace house (&gt;80m²) £8,400; small detached house (&lt;117m²) £10,200; large detached house (&gt;117m²) £11,500; bungalow (around 117m²) £9,800.
</t>
  </si>
  <si>
    <t xml:space="preserve">This is the cost, including materials and labour, of installing cavity wall insulation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cavity wall insulation. The source also provides low and high costs (representing the upper and lower limits of the range of costs supplied by organisations) at £5-£6.
The source also supplies estimates of the insulation cost for different household types, which are as follows - small flat (&lt;54m²) £380; large flat (&gt;54m²) £430; small mid-terrace house (&lt;76m²) £460; large mid-terrace house (&gt;76m²) £505; small semi-detached or end terrace house (&lt;80m²) £529; large semi-detached or end terrace house (&gt;80m²) £660; small detached house (&lt;117m²) £680; large detached house (&gt;117m²) £950; bungalow (around 117m²) £650.
</t>
  </si>
  <si>
    <t xml:space="preserve">This is the cost, including materials and labour, of installing party wall insulation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party wall insulation. The source also provides low and high costs (representing the upper and lower limits of the range of costs supplied by organisations) at £25-£30.
The source also supplies estimates of the insulation cost for different household types - small flat (&lt;54m²); large flat (&gt;54m²); small mid-terrace house (&lt;76m²); large mid-terrace house (&gt;76m²); small semi-detached or end terrace house (&lt;80m²); large semi-detached or end terrace house (&gt;80m²)- all at £350. 
</t>
  </si>
  <si>
    <t>Cavity Wall Insulation (CWI) - cost per m² including materials and labour</t>
  </si>
  <si>
    <t>External Wall Insulation (EWI) - cost per m² including materials and labour</t>
  </si>
  <si>
    <t>Party Wall Insulation (PWI) - cost per m² including materials and labour</t>
  </si>
  <si>
    <t>per property</t>
  </si>
  <si>
    <t>Solid Wall Insulation (SWI) - median annual cost saving per property - energy savings</t>
  </si>
  <si>
    <t>Solid Wall Insulation (SWI) - median annual cost saving per property - carbon emissions &amp; air quality damage costs</t>
  </si>
  <si>
    <t>Cavity Wall Insulation (CWI) - median annual cost saving per property - energy savings</t>
  </si>
  <si>
    <t>Cavity Wall Insulation (CWI) - median annual cost saving per property - carbon emissions &amp; air quality damage costs</t>
  </si>
  <si>
    <t>EV15.0</t>
  </si>
  <si>
    <t>Loft Insulation (Joists) - cost per m² including materials and labour</t>
  </si>
  <si>
    <t>Loft Insulation (Rafters) - cost per m² including materials and labour</t>
  </si>
  <si>
    <t xml:space="preserve">This is the cost, including materials and labour, of installing loft insulation joists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loft insulation joists. The source also provides low and high costs (representing the upper and lower limits of the range of costs supplied by organisations) at £10-£20.
The source also supplies estimates of the insulation cost for different household types, which are as follows - small flat (&lt;54m²) £320; large flat (&gt;54m²) £430; small mid-terrace house (&lt;76m²) £350; large mid-terrace house (&gt;76m²) £420; small semi-detached or end terrace house (&lt;80m²) £360; large semi-detached or end terrace house (&gt;80m²) £470; small detached house (&lt;117m²) £510; large detached house (&gt;117m²) £600; bungalow (around 117m²) £620.
</t>
  </si>
  <si>
    <t xml:space="preserve">This is the cost, including materials and labour, of installing loft insulation rafters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loft insulation rafters. The source also provides low and high costs (representing the upper and lower limits of the range of costs supplied by organisations) at £20-£40.
The source also supplies estimates of the insulation cost for different household types, which are as follows - small mid-terrace house (&lt;76m²) £1,600; large mid-terrace house (&gt;76m²) £1,900; small semi-detached or end terrace house (&lt;80m²) £2,200; large semi-detached or end terrace house (&gt;80m²) £2,300; small detached house (&lt;117m²) £2,300; large detached house (&gt;117m²) £3,100; bungalow (around 117m²) £2,800.
</t>
  </si>
  <si>
    <t>EV16.0</t>
  </si>
  <si>
    <t>Flat Roof Insulation - cost per m² including materials and labour</t>
  </si>
  <si>
    <t xml:space="preserve">This is the cost, including materials and labour, of installing flat roof insulation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flat roof insulation rafters. The source also provides low and high costs (representing the upper and lower limits of the range of costs supplied by organisations) at £50-£100.
</t>
  </si>
  <si>
    <t>EV17.0</t>
  </si>
  <si>
    <t>Double Glazing - cost per m² including materials and labour</t>
  </si>
  <si>
    <t>EV18.0</t>
  </si>
  <si>
    <t>EV18.1</t>
  </si>
  <si>
    <t xml:space="preserve">This is the cost, including materials and labour, of installing double glazing per metre².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double glazing. The source also provides low and high costs (representing the upper and lower limits of the range of costs supplied by organisations) at £300-£1,000.
The source also supplies estimates of the insulation cost for different household types, which are as follows - small flat (&lt;54m²) £2,400; large flat (&gt;54m²) £3,600; small mid-terrace house (&lt;76m²) £3,900; large mid-terrace house (&gt;76m²) £5,000; small semi-detached or end terrace house (&lt;80m²) £5,500; large semi-detached or end terrace house (&gt;80m²) £6,400; small detached house (&lt;117m²) £5,900; large detached house (&gt;117m²) £8,300; bungalow (around 117m²) £6,600.
</t>
  </si>
  <si>
    <t>EV19.0</t>
  </si>
  <si>
    <t>HEATING</t>
  </si>
  <si>
    <t>EV15.1</t>
  </si>
  <si>
    <t>EV15.2</t>
  </si>
  <si>
    <t>EV17.1</t>
  </si>
  <si>
    <t>EV17.2</t>
  </si>
  <si>
    <t>EV17.3</t>
  </si>
  <si>
    <t>Loft Insulation - median annual cost saving per property - carbon emissions &amp; air quality damage costs</t>
  </si>
  <si>
    <t>Loft Insulation - median annual cost saving per property - energy savings</t>
  </si>
  <si>
    <t>Gas Boiler Replacement - small detached house (&lt;117m²) cost per household</t>
  </si>
  <si>
    <t>Oil Boiler Replacement - small detached house (&lt;117m²) cost per household</t>
  </si>
  <si>
    <t>Gas Central Heating Installation - small detached house (&lt;117m²) cost per household</t>
  </si>
  <si>
    <t xml:space="preserve">This is the cost of replacing a gas boiler in a small detached house.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gas boilers. The source also provides low and high costs (representing the upper and lower limits of the range of costs supplied by organisations) at £1,700-£6,000.
The source also supplies estimates of the replacement costs for other household types, which are as follows - small flat (&lt;54m²) £1,700; large flat (&gt;54m²) £1,800; small mid-terrace house (&lt;76m²) £2,200; large mid-terrace house (&gt;76m²) £2,400; small semi-detached or end terrace house (&lt;80m²) £2,300; large semi-detached or end terrace house (&gt;80m²) £2,800; large detached house (&gt;117m²) £4,300; bungalow (around 117m²) £3,200.
</t>
  </si>
  <si>
    <t>Condensing Boiler - median annual cost saving per property - energy savings</t>
  </si>
  <si>
    <t>Condensing Boiler - median annual cost saving per property - carbon emissions &amp; air quality damage costs</t>
  </si>
  <si>
    <t>EV17.4</t>
  </si>
  <si>
    <t xml:space="preserve">This is the cost of replacing an oil boiler in a small detached house.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oil boilers. The source also provides low and high costs (representing the upper and lower limits of the range of costs supplied by organisations) at £2,600-£4,000.
The source also supplies estimates of the replacement costs for other household types, which are as follows - small flat (&lt;54m²) £2,700; large flat (&gt;54m²) £2,500; small mid-terrace house (&lt;76m²) £2,800; large mid-terrace house (&gt;76m²) £2,600; small semi-detached or end terrace house (&lt;80m²) £3,500; large semi-detached or end terrace house (&gt;80m²) £2,800; large detached house (&gt;117m²) £4,300; bungalow (around 117m²) £3,000.
</t>
  </si>
  <si>
    <t xml:space="preserve">This is the cost of installing gas central heating in a small detached house.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central heating. The source also provides low and high costs (representing the upper and lower limits of the range of costs supplied by organisations) at £2,300-£6,500.
The source also supplies estimates of the replacement costs for other household types, which are as follows - small flat (&lt;54m²) £2,700; large flat (&gt;54m²) £3,300; small mid-terrace house (&lt;76m²) £3,400; large mid-terrace house (&gt;76m²) £3,800; small semi-detached or end terrace house (&lt;80m²) £3,800; large semi-detached or end terrace house (&gt;80m²) £4,200; large detached house (&gt;117m²) £5,800; bungalow (around 117m²) £4,600.
</t>
  </si>
  <si>
    <t>SMART METER</t>
  </si>
  <si>
    <t>Dual Fuel smart meter installation cost</t>
  </si>
  <si>
    <t>per device</t>
  </si>
  <si>
    <t>Smart meter component cost - in-home display (IHD)</t>
  </si>
  <si>
    <t>Smart meter component cost - electricity meter</t>
  </si>
  <si>
    <t>Smart meter component cost - gas meter</t>
  </si>
  <si>
    <t>Smart meter component cost - communications equipment</t>
  </si>
  <si>
    <t>Electricity/gas-only smart meter installation cost</t>
  </si>
  <si>
    <t>This is the capital cost of an in-home display (IHD) to support a dual fuel smart meter. Please note, this is solely the cost of the device itself, and does not reflect the personnel cost of installation (described above).</t>
  </si>
  <si>
    <t>This is the capital cost of a electricity smart meter. Please note, this is solely the cost of the device itself, and does not reflect the personnel cost of installation (described above).</t>
  </si>
  <si>
    <t>This is the capital cost of a gas smart meter. Please note, this is solely the cost of the device itself, and does not reflect the personnel cost of installation (described above).</t>
  </si>
  <si>
    <t xml:space="preserve">This is the weighted average capital cost of communications equipment across the three Communication Service Provider Regions (CSP). Please note, this is solely the cost of the technology itself and does not reflect the personnel cost of installation (described above). Allowances have been made for dual band communications hubs that are deployed to properties where the standard 2.4GHz HAN solution does not work. </t>
  </si>
  <si>
    <t>MATERIALS</t>
  </si>
  <si>
    <t>EV20.0</t>
  </si>
  <si>
    <t>EV20.1</t>
  </si>
  <si>
    <t>Construction Materials - average carbon emissions per tonne of usage (primary production)</t>
  </si>
  <si>
    <t>Plastic Materials - average carbon emissions per tonne of usage (primary production)</t>
  </si>
  <si>
    <t>Plastic Materials - average carbon emissions per tonne of waste disposal (landfill)</t>
  </si>
  <si>
    <t>Municipal Waste (generated by domestic properties) - average carbon emissions per tonne of waste disposed</t>
  </si>
  <si>
    <t>Commercial and industrial waste (generated by businesses or industrial operations) - average carbon emissions per tonne of waste disposal</t>
  </si>
  <si>
    <t>EV21.0</t>
  </si>
  <si>
    <t>per million litres</t>
  </si>
  <si>
    <t>EV22.0</t>
  </si>
  <si>
    <t>WATER</t>
  </si>
  <si>
    <t>EV22.1</t>
  </si>
  <si>
    <t>Water supply - average carbon emissions per million litres (delivered through mains supply network)</t>
  </si>
  <si>
    <t>APPLIANCES</t>
  </si>
  <si>
    <t>EV23.0</t>
  </si>
  <si>
    <t>EV23.1</t>
  </si>
  <si>
    <t>per household</t>
  </si>
  <si>
    <t>Average annual electricity consumption per UK household - value of energy used, carbon emissions and air quality damage costs</t>
  </si>
  <si>
    <t>Average annual gas consumption per UK household - value of energy used, carbon emissions and air quality damage costs</t>
  </si>
  <si>
    <t>LIGHTING</t>
  </si>
  <si>
    <t>EV24.0</t>
  </si>
  <si>
    <t>per bulb</t>
  </si>
  <si>
    <t>This is the cost, based on resident self-installation, of a light-emitting diode (LED) bulb. It is taken from a data gathering exercise, conducted by Cambridge Architectural Research Ltd on behalf of DECC in 2016, where cost values from a range of domestic retrofit measures were supplied by a range of organisations through interviews and digital correspondences. 
This figure is the "medium" estimate which is based on the mean value of all the costs provided for LED's. The source also provides low and high costs (representing the upper and lower limits of the range of costs supplied by organisations) at £2.00-£20.40.
The source also provides an estimate of the cost of full-house installation for a small semi-detached or end terrace property (80m²) at £250 (range of £200-£300). Please note, this reflects only the cost of the bulbs, and does not incorporate any wider value of household infrastructure or personnel costs which may be required.</t>
  </si>
  <si>
    <t>HEAT NETWORK</t>
  </si>
  <si>
    <t>EV25.0</t>
  </si>
  <si>
    <t>EV25.1</t>
  </si>
  <si>
    <t>£/MWh</t>
  </si>
  <si>
    <t>Assessment of the Costs, Performance, and Characteristics of UK Heat Networks, DECC (2015)</t>
  </si>
  <si>
    <t>£/KW</t>
  </si>
  <si>
    <t>Heat Pumps in District Heating, Table 6, DECC (2016)</t>
  </si>
  <si>
    <t>This is the estimated cost of a central heat pump per/KW capacity, including installation. This figure is taken from parameters employed by Element Energy in bespoke modelling undertaken on behalf of DECC in 2016. The authors state that the values were obtained from two existing schemes, both of which allowed disaggregation of component and installation costs. These were set as the ‘low’ cost scenario since literature indicated that many existing installations were much more expensive, possibly due to the bespoke nature of certain schemes or at least the fact that many were the first of their kind (the medium &amp; high estimates are £1,500 and £2,500 respectively). 
The red RAG rating reflects the degree of extrapolation required in producing these figures, and the variability in estimated costs depending on the location and type of heat pump installation.</t>
  </si>
  <si>
    <t>per dwelling</t>
  </si>
  <si>
    <t>Final report on analysis of heat pump data from the renewable heat premium payment (RHPP) scheme, UCL Energy Institute, (March 2017)</t>
  </si>
  <si>
    <t>Air Source Heat Pump - median annual fuel savings and carbon emissions avoided (semi-detached property)</t>
  </si>
  <si>
    <t>Ground Source Heat Pump - median annual fuel savings and carbon emissions avoided (semi-detached property)</t>
  </si>
  <si>
    <t>SOLAR</t>
  </si>
  <si>
    <t>EV26.0</t>
  </si>
  <si>
    <t>BIOMASS</t>
  </si>
  <si>
    <t>SUPPLY</t>
  </si>
  <si>
    <t>EV28.0</t>
  </si>
  <si>
    <t>EV13.1</t>
  </si>
  <si>
    <t>EV13.2</t>
  </si>
  <si>
    <t>Hot Water Tank - top up insulation (25 to 80mm), annual fuel bill and carbon dioxide savings</t>
  </si>
  <si>
    <t>Heat Network capital costs</t>
  </si>
  <si>
    <t>Heat network maintenance costs</t>
  </si>
  <si>
    <t>Heat Connections capital cost (bulk scheme)</t>
  </si>
  <si>
    <t>Thermal Store capital costs</t>
  </si>
  <si>
    <t>Heat Pump central cost (including installation)</t>
  </si>
  <si>
    <t>Solar Photovoltaic (PV) - median annual cost saving per property - energy savings</t>
  </si>
  <si>
    <t>Solar Photovoltaic (PV) - median annual cost saving per property - carbon emissions &amp; air quality damage costs</t>
  </si>
  <si>
    <t>per panel</t>
  </si>
  <si>
    <t>Evidence Gathering - Low Carbon Heating Technologies, Hybrid Solar Photovoltaic Thermal Panels, DECC (2016), pg.45</t>
  </si>
  <si>
    <t>This is the cost of a single photovoltaic-thermal hybrid (PV-T) solar panel, unglazed, type 1a or 2. This figure represents the mid-point of a range of values with a minimum of £280 and a maximum of £400. The figure is derived from a combination of sources, collated by authors of the original source; the list prices for a small number of commercially available PV-T panels, conversations with manufacturers and installers who provide PV-T systems, responses to a survey (including European manufacturers and installers), and conversations with related organisations, including installers who do not currently provide PV-T systems. The source also provides an estimate of the cost of glazed panels (type 3 &amp; 4) at £300-£420. 
The cost of the panels represents only one component of the overall cost of solar technology (this does not, for instance, include the cost of thermal storage). The full anticipated cost of system installation per dwelling, including inverters, installation and design, manufacture of thermal components and assembly, and raw materials (including PV cells) is estimated by the source to be within the range of £4,500-£6,000.</t>
  </si>
  <si>
    <t>Photovoltaic-thermal hybrid solar (PV-T) - cost per unglazed panel (type 1a or 2)</t>
  </si>
  <si>
    <t>Light-emitting diode (LED) - cost per bulb</t>
  </si>
  <si>
    <t xml:space="preserve">Technology Innovation Needs Assessment (TINA) - Electricity Networks &amp; Storage (EN&amp;S) Summary Report, Low Carbon Innovation Coordination Group, August 2012, pg. 8
</t>
  </si>
  <si>
    <t>per unit</t>
  </si>
  <si>
    <t>Electric vehicle infrastructure - charging point (total cost)</t>
  </si>
  <si>
    <t>Electric vehicle infrastructure - charging point (installation cost)</t>
  </si>
  <si>
    <t>Electric vehicle infrastructure - charging point (equipment cost)</t>
  </si>
  <si>
    <t>VEHICLES</t>
  </si>
  <si>
    <t>2020/21</t>
  </si>
  <si>
    <t>2021/22</t>
  </si>
  <si>
    <t>2022/23</t>
  </si>
  <si>
    <t>GDP cumulative
(using 1992 as base year)</t>
  </si>
  <si>
    <t>Job Seekers' Allowance
Fiscal benefit from a workless claimant entering work - income / national insurance receipts</t>
  </si>
  <si>
    <t>E&amp;E1.0.3</t>
  </si>
  <si>
    <t xml:space="preserve">Jobseekers Allowance (JSA) is the main benefit for people who are out of work and seeking employment; it is based on either National Insurance (NI) contributions or low income.  This is the fiscal benefit from a JSA claimant entering work.
The given value is an illustrative estimate by the Department of Work and Pensions (DWP) of the costs and benefits that would occur if a hypothetical 'typical' JSA claimant (who would otherwise have remained on benefits) were to move into employment for one additional year.  Data are derived from a number of sources: 
1. DWP's Policy Simulation Model (PSM), which has been used to derive changes in benefits and indirect tax from moving into work.  The PSM draws on data from the Family Resource Survey 13/14 and Autumn Statement 2016 data on the underlying benefit and tax system (the latter is not fully current, but DWP does not expect this to impact significantly on the outputs).
2. The DWP Destinations' Survey (2012), which draws on 2011 data to inform assumptions on income tax, national insurance and childcare costs.  These costs have been uprated with Autumn Statement 2016 earnings inflators.
3. DWP's departmental activity-based model, for benefits relating to reduced operational costs.
4. DWP's Working Paper 86, for the benefits to the NHS.  This paper draws on evidence that suggests that employment has a positive effect on the health of the individual.  However, monetising these effects is challenging, and there is some uncertainty attached to the quoted values - for this reason, they should be used with caution.
5. The Department for Transport's (DFT) National Travel Survey, which has been used along with the following sources to estimate the additional travel costs associated with moving into employment: AA Motoring Costs; DfT Bus and London Underground Statistics; DfT Transport Analysis Guidance. 
As shown in the constituent cost lines below, the entry comprises reduced benefits payments accruing to DWP (Annually Managed Expenditure) and increased income tax / national insurance receipts accruing to HMRC, along with savings to the NHS related to a reduction in health care costs associated with being out of work.  Monetisation is based on entry into employment for a 12 month period.  Not all individuals entering employment will stay in a job indefinitely, and therefore an assessment of the length of employment should be included when calculating the impact of an intervention. 
The economic impact relates to increased output as a result of an individual entering employment (largely increased earnings).  It comprises increased output of £18,127, less increased costs associated with travel (-£573) and childcare (-£133).  Note that when considering the overall public value relating to an IS claimant entering work, the fiscal saving from benefits payments, tax and national insurance receipts should be excluded, as this is effectively a transfer payment (non-payment simply moves money from one place to another).  Total public value is therefore £19,153 (2017/18 prices); this comprises fiscal benefits from reduced DWP operational costs (£1,148) and reduced health care costs (£585), plus the £17,420 net economic benefit.
DWP's modelling seeks to account for substitution effects - evidence suggests that those who find work through employment programmes may displace other workers.  This implies that a proportion of the additional job years experienced by participants might have been obtained at the expense of non-participants, with higher displacement likely to result from employment programmes that impact upon the demand side of the labour market (e.g. employment subsidies) compared to those that impact upon the supply side (e.g. training).  DWP recommends reducing the benefits quoted here by 20% to account for displacement associated with supply-side interventions, and by 45% to account for displacement associated with demand-side interventions.  See the guidance document accompanying the GM CBA tool for further discussion of this issue.
An amber flag has been allocated, in part to highlight the need to consider substitution effects and the length of time in employment, and to reflect that this is an average value but in practice the benefit will vary depending on the nature of employment gained.  In addition, the caveat attached to monetisation of the health benefit should be noted.
</t>
  </si>
  <si>
    <t>See note to headline cost above.  This entry comprises the following constituent elements (all values quoted at 2017/18 prices): £4,000 in JSA benefit payments; £2,328 in housing benefit payments; £1,148 in operational costs.</t>
  </si>
  <si>
    <t>See note to headline cost above.  This entry comprises the following constituent elements (all values quoted at 2017/18 prices): £1,375 increase in income tax; £1,244 increase in employers' national insurance contributions; £1,024 increase in employee's national insurance contributions; and £1,016 increase in indirect taxes.  Note that a £63 reduction in tax credits is offset against these benefits.</t>
  </si>
  <si>
    <t>Working Paper 86: The Department for Work and Pensions Social Cost-Benefit Analysis Framework (DWP, 2010), Appendix D</t>
  </si>
  <si>
    <t xml:space="preserve">See note to headline cost above.  This entry is associated with the positive effect of employment on the health of the individual.  Monetising this effect, however, is not straightforward, so this value should be used with caution.  The value in the source has been uprated by DWP to 2017/18 values. 
</t>
  </si>
  <si>
    <t>Employment and Support Allowance 
Fiscal and economic benefit from a workless claimant entering work</t>
  </si>
  <si>
    <t>Employment and Support Allowance
Fiscal benefit from a workless claimant entering work - income / national insurance receipts</t>
  </si>
  <si>
    <t>E&amp;E2.0.3</t>
  </si>
  <si>
    <t>Employment and Support Allowance (ESA) is the main benefit for people who are sick or disabled, and is based on either National Insurance (NI) contributions or low income.  ESA has replaced Incapacity Benefit (IB) for all new claims.  This is the fiscal benefit from an ESA claimant entering work.  
The given value is an illustrative estimate by the Department of Work and Pensions (DWP) of the costs and benefits that would occur if a hypothetical 'typical' ESA claimant (who would otherwise have remained on benefits) were to move into employment for one additional year.  Data are derived from a number of sources: 
1. DWP's Policy Simulation Model (PSM), which has been used to derive changes in benefits and indirect tax from moving into work.  The PSM draws on data from the Family Resource Survey 13/14 and Autumn Statement 2016 data on the underlying benefit and tax system (the latter is not fully current, but DWP does not expect this to impact significantly on the outputs).
2. The DWP Destinations' Survey (2012), which draws on 2011 data to inform assumptions on income tax, national insurance and childcare costs.  These costs have been uprated with Autumn Statement 2016 earnings inflators.
3. DWP's departmental activity-based model, for benefits relating to reduced operational costs.
4. DWP's Working Paper 86, for the benefits to the NHS.  This paper draws on evidence that suggests that employment has a positive effect on the health of the individual.  However, monetising these effects is challenging, and there is some uncertainty attached to the quoted values - for this reason, they should be used with caution.
5. The Department for Transport's (DFT) National Travel Survey, which has been used along with the following sources to estimate the additional travel costs associated with moving into employment: AA Motoring Costs; DfT Bus and London Underground Statistics; DfT Transport Analysis Guidance. 
As shown in the constituent cost lines below, the entry comprises reduced benefits payments accruing to DWP (Annually Managed Expenditure) and increased income tax / national insurance receipts accruing to HMRC, along with savings to the NHS related to a reduction in health care costs associated with being out of work.  Monetisation is based on entry into employment for a 12 month period.  Not all individuals entering employment will stay in a job indefinitely, and therefore an assessment of the length of employment should be included when calculating the impact of an intervention.
The economic impact relates to increased output as a result of an individual entering employment (largely increased earnings).  It comprises increased output of £15,094, less increased costs associated with travel (-£573) and childcare (-£169).  Note that when considering the overall public value relating to an IS claimant entering work, the fiscal saving from benefits payments, tax and national insurance receipts should be excluded, as this is effectively a transfer payment (non-payment simply moves money from one place to another).  Total public value is therefore £15,963 (2017/18 prices); this comprises fiscal benefits from reduced health care costs (£1,169) and reduced DWP operational costs (£442), plus the £14,352 net economic benefit.
DWP's modelling seeks to account for substitution effects - evidence suggests that those who find work through employment programmes may displace other workers.  This implies that a proportion of the additional job years experienced by participants might have been obtained at the expense of non-participants, with higher displacement likely to result from employment programmes that impact upon the demand side of the labour market (e.g. employment subsidies) compared to those that impact upon the supply side (e.g. training).  DWP recommends reducing the benefits quoted here by 20% to account for displacement associated with supply-side interventions, and by 45% to account for displacement associated with demand-side interventions.  See the guidance document accompanying the GM CBA tool for further discussion of this issue.
An amber flag has been allocated, in part to highlight the need to consider substitution effects and the length of time in employment, and to reflect that this is an average value but in practice the benefit will vary depending on the nature of employment gained.  In addition, the caveat attached to monetisation of the health benefit should be noted.</t>
  </si>
  <si>
    <t>See note to headline cost above.  This entry comprises the following constituent elements (all values quoted at 2017/18 prices): £7,270 in ESA benefit payments; £1,942 in housing benefit payments; £442 in operational costs.</t>
  </si>
  <si>
    <t>See note to headline cost above.  This entry comprises the following constituent elements (all values quoted at 2017/18 prices): £968 increase in income tax; £928 increase in employers' national insurance contributions; £790 increase in employee's national insurance contributions; and £495 increase in indirect taxes.  Note that a £1,186 reduction in tax credits is offset against these benefits.</t>
  </si>
  <si>
    <t>Income Support
Fiscal benefit from a workless claimant entering work - income / national insurance receipts</t>
  </si>
  <si>
    <t>E&amp;E3.0.3</t>
  </si>
  <si>
    <t>Income Support (IS) is extra money for those on a low income or none at all, who are working less than 16 hours a week and haven't signed on as unemployed.  This is the fiscal benefit from an IS claimant entering work. 
The given value is an illustrative estimate by the Department of Work and Pensions (DWP) of the costs and benefits that would occur if a hypothetical 'typical' IS claimant (who would otherwise have remained on benefits) were to move into employment for one additional year.  Data are derived from a number of sources: 
1. DWP's Policy Simulation Model (PSM), which has been used to derive changes in benefits and indirect tax from moving into work.  The PSM draws on data from the Family Resource Survey 13/14 and Autumn Statement 2016 data on the underlying benefit and tax system (the latter is not fully current, but DWP does not expect this to impact significantly on the outputs).
2. The DWP Destinations' Survey (2012), which draws on 2011 data to inform assumptions on income tax, national insurance and childcare costs.  These costs have been uprated with Autumn Statement 2016 earnings inflators.
3. DWP's departmental activity-based model, for benefits relating to reduced operational costs.
4. DWP's Working Paper 86, for the benefits to the NHS.  This paper draws on evidence that suggests that employment has a positive effect on the health of the individual.  However, monetising these effects is challenging, and there is some uncertainty attached to the quoted values - for this reason, they should be used with caution.
5. The Department for Transport's (DFT) National Travel Survey, which has been used along with the following sources to estimate the additional travel costs associated with moving into employment: AA Motoring Costs; DfT Bus and London Underground Statistics; DfT Transport Analysis Guidance. 
As shown in the constituent cost lines below, the entry comprises reduced benefits payments accruing to DWP (Annually Managed Expenditure) and increased income tax / national insurance receipts accruing to HMRC, along with savings to the NHS related to a reduction in health care costs associated with being out of work.  Monetisation is based on entry into employment for a 12 month period.  Not all individuals entering employment will stay in a job indefinitely, and therefore an assessment of the length of employment should be included when calculating the impact of an intervention.  
The economic impact relates to increased output as a result of an individual entering employment (largely increased earnings).  It comprises increased output of £10,630, less increased costs associated with travel (£573) and childcare (£509).  Note that when considering the overall public value relating to an IS claimant entering work, the fiscal saving from benefits payments, tax and national insurance receipts should be excluded, as this is effectively a transfer payment (non-payment simply moves money from one place to another).  Total public value is therefore £10,504 (2017/18 prices); this comprises fiscal benefits from reduced health care costs (£585) and reduced DWP operational costs (£372), plus the £9,548 net economic benefit.
DWP's modelling seeks to account for substitution effects - evidence suggests that those who find work through employment programmes may displace other workers.  This implies that a proportion of the additional job years experienced by participants might have been obtained at the expense of non-participants, with higher displacement likely to result from employment programmes that impact upon the demand side of the labour market (e.g. employment subsidies) compared to those that impact upon the supply side (e.g. training).  DWP recommends reducing the benefits quoted here by 20% to account for displacement associated with supply-side interventions, and by 45% to account for displacement associated with demand-side interventions.  See the guidance document accompanying the GM CBA tool for further discussion of this issue.
An amber flag has been allocated, in part to highlight the need to consider substitution effects and the length of time in employment, and to reflect that this is an average value but in practice the benefit will vary depending on the nature of employment gained.  In addition, the caveat attached to monetisation of the health benefit should be noted.</t>
  </si>
  <si>
    <t>See note to headline cost above.  This entry comprises the following constituent elements (all values quoted at 2017/18 prices): £3,612 in Income Support benefit payments; £1,581 in housing benefit payments; £372 in operational costs.</t>
  </si>
  <si>
    <t>See note to headline cost above.  This entry comprises the following constituent elements (all values quoted at 2017/18 prices): £791 increase in indirect taxes; £459 increase in employers' national insurance contributions; £428 increase in income tax; and £397 increase in employee's national insurance contributions.  Note that a £2,291 reduction in tax credits is offset against these benefits, resulting in a net negative value.</t>
  </si>
  <si>
    <t xml:space="preserve">See note to headline cost above.  This entry is associated with the positive effect of employment on the health of the individual.  Monetising this effect, however, is not straightforward, so this value should be used with caution.  The value in the source has been uprated by DWP to 2017/18 values. </t>
  </si>
  <si>
    <t>Job Seeker's Allowance
Cost of maintaining existing claims</t>
  </si>
  <si>
    <t>Job Seeker's Allowance
Single claimant aged up to 24 - maximum payment</t>
  </si>
  <si>
    <t>Job Seeker's Allowance
Single claimant aged 25 and over - maximum payment</t>
  </si>
  <si>
    <t>Employment and Support Allowance 
Claimants aged under 25 - assessment rate, maximum payment</t>
  </si>
  <si>
    <t>Employment and Support Allowance 
Claimants aged 25 and over - assessment rate, maximum payment</t>
  </si>
  <si>
    <t>ESA claimants under 25 years old receive up to this sum for 13 weeks after their initial claim, during the assessment phase.  They then progress to either the work-related activity group or the support group (see related subsidiary costs).</t>
  </si>
  <si>
    <t>Employment and Support Allowance 
Work-related activity group, maximum payment</t>
  </si>
  <si>
    <t>Employment and Support Allowance 
Support group, maximum payment</t>
  </si>
  <si>
    <t>Personal Independence Payment
Daily living component: higher rate</t>
  </si>
  <si>
    <t>Personal Independence Payment
Mobility component: higher rate</t>
  </si>
  <si>
    <t>Personal Independence Payment
Mobility component: standard rate</t>
  </si>
  <si>
    <t>This cost has been calculated from data in the source report on the total cost of 18-24 year old NEETs (young people not in education, employment and training) to the national exchequer divided by the number of NEETs nationally.  The fiscal value comprises benefit payments (worklessness and housing benefits) falling to the Department of Work and Pensions, and foregone tax and national insurance receipts falling to HM Revenue and Customs (also relevant here is a negative value associated with payment of working tax credits resulting from NEETs moving into low salaried work, and payment of child tax credits).  In contrast to the subsidiary entry below, which gives the future fiscal cost to the Exchequer associated with NEET status as a young person, this is the fiscal cost whilst the individual young person is currently NEET.
The economic value represents the loss of earnings to the individual young person whilst NEET.  As with the fiscal value, note that it is a current cost, in contrast to the subsidiary entry below which gives the future annual economic cost to the individual.  A social value has not been quantified.
A red flag has been allocated in recognition of the global, top-down nature of the calculation, the age of the data, and the lack of consideration of wider fiscal elements such as costs associated with the health and/or crime impacts of being NEET.</t>
  </si>
  <si>
    <t>This cost has been calculated from data in the source report on the total cost of 16-17 year old NEETs (young people not in education, employment and training) to the national exchequer divided by the number of NEETs nationally.  The fiscal value comprises benefit payments (worklessness and housing benefits) falling to the Department for Work and Pensions (DWP), and child tax credit payments falling to HM Revenue and Customs (HMRC).  Also relevant here is a negative value associated with HMRC payment of working tax credits resulting from NEETs moving into low salaried work; as this outweighs the average child tax credit payments, and hence there is no net benefit to HMRC, 100% of the fiscal value should be allocated to DWP.  In contrast to the subsidiary entry below, which gives the future fiscal cost to the Exchequer associated with NEET status as a young person, this is the fiscal cost whilst the individual young person is currently NEET.
The economic value represents the loss of earnings to the individual young person whilst NEET.  As with the fiscal value, note that it is a current cost, in contrast to the subsidiary entry below which gives the future annual economic cost to the individual.  A social value has not been quantified.
A red flag has been allocated in recognition of the global, top-down nature of the calculation, the age of the data, and the lack of consideration of wider fiscal elements such as costs associated with the health and/or crime impacts of being NEET.</t>
  </si>
  <si>
    <t>This is a specific cost for males who were NEET (not in education, employment and training) earlier in life; it has been calculated from data in the source report on the total cost of NEETs to the national exchequer divided by the number of NEETs nationally.  In contrast to the values quoted above that represent the current cost to the individual young person whilst NEET, this gives the average future annual costs associated with having been NEET as a young person.
The fiscal value comprises the additional benefit payments made by the Department for Work and Pensions (DWP) in respect of future worklessness resulting from time spent NEET, together with tax and national insurance payments foregone by HM Revenue and Customs (HMRC) relating to both lower wages and future worklessness.
The economic value represents the future annual cost to the individual related to having been NEET, constituting earnings lost (£3,337 pa, 2010-11 prices) and the cost of later workless spells (£3,636).  A social value has not been quantified.
A red flag has been allocated in recognition of the global, top-down nature of the calculation, the age of the data, and the lack of consideration of wider fiscal elements such as costs associated with the health and/or crime impacts of being NEET.</t>
  </si>
  <si>
    <t>This is a specific cost for females who were NEET (not in education, employment and training) earlier in life; it has been calculated from data in the source report on the total cost of NEETs to the national exchequer divided by the number of NEETs nationally.  In contrast to the values quoted above that represent the current cost to the individual young person whilst NEET, this gives the average future annual costs associated with having been NEET as a young person.
The fiscal value comprises the additional benefit payments made by the Department for Work and Pensions (DWP) in respect of future worklessness resulting from time spent NEET, together with tax and national insurance payments foregone by HM Revenue and Customs (HMRC) relating to both lower wages and future worklessness.
The economic value represents the future annual cost to the individual related to having been NEET, constituting earnings lost (£1,779 pa, 2010/11 prices) and the cost of later workless spells (£2,726).  A social value has not been quantified.
A red flag has been allocated in recognition of the global, top-down nature of the calculation, the age of the data, and the lack of consideration of wider fiscal elements such as costs associated with the health and/or crime impacts of being NEET.</t>
  </si>
  <si>
    <t>E&amp;E4.3</t>
  </si>
  <si>
    <t>E&amp;E5.4</t>
  </si>
  <si>
    <t>E&amp;E6.5</t>
  </si>
  <si>
    <t>E&amp;E6.6</t>
  </si>
  <si>
    <t>E&amp;E9.0.1</t>
  </si>
  <si>
    <t>E&amp;E9.0.2</t>
  </si>
  <si>
    <t>E&amp;E9.2.1</t>
  </si>
  <si>
    <t>E&amp;E9.2.2</t>
  </si>
  <si>
    <t>E&amp;E9.3</t>
  </si>
  <si>
    <t>E&amp;E9.3.1</t>
  </si>
  <si>
    <t>E&amp;E9.3.2</t>
  </si>
  <si>
    <t>E&amp;E9.4</t>
  </si>
  <si>
    <t>CR8.1.7</t>
  </si>
  <si>
    <t>Homicide - fiscal cost to victim services</t>
  </si>
  <si>
    <t>Victim Services</t>
  </si>
  <si>
    <t>Violence with injury - fiscal cost to the police</t>
  </si>
  <si>
    <t>Violence with injury - average cost per incident (fiscal, economic and social values)</t>
  </si>
  <si>
    <t>Violence with injury - fiscal cost to the probation system</t>
  </si>
  <si>
    <t>Violence with injury - fiscal cost to the courts/legal aid system</t>
  </si>
  <si>
    <t>Violence with injury - fiscal cost to the prison system</t>
  </si>
  <si>
    <t>Violence with injury - fiscal cost to other areas of the criminal justice system</t>
  </si>
  <si>
    <t>Violence with injury - fiscal cost to the NHS</t>
  </si>
  <si>
    <t>Figures derived from 'The Economic and Social Costs of Crime, Second Edition'.  This estimates the total cost (fiscal, economic and social) of crime.  These costs have been disaggregated to identify the breakdown into fiscal, economic and social elements of the cost of crime and the breakdown of the fiscal costs to each agency using the split of expenditure from the same report. Further agency breakdowns are available in Table 23 of the original report (pg.58).  Analysis carried out by the GMCA Research Team and assured by the Home Office.</t>
  </si>
  <si>
    <t>Violence without injury - average cost per incident (fiscal, economic and social values)</t>
  </si>
  <si>
    <t>Violence without injury - fiscal cost to the police</t>
  </si>
  <si>
    <t>Violence without injury - fiscal cost to the probation system</t>
  </si>
  <si>
    <t>Violence without injury - fiscal cost to the courts/legal aid system</t>
  </si>
  <si>
    <t>Violence without injury - fiscal cost to the prison system</t>
  </si>
  <si>
    <t>Violence without injury - fiscal cost to other areas of the criminal justice system</t>
  </si>
  <si>
    <t>Violence without injury - fiscal cost to the NHS</t>
  </si>
  <si>
    <t>Violence without injury - fiscal cost to victim services</t>
  </si>
  <si>
    <t>Rape - average cost per incident (fiscal, economic and social values)</t>
  </si>
  <si>
    <t>Rape - fiscal cost to the police</t>
  </si>
  <si>
    <t>Rape - fiscal cost to the probation system</t>
  </si>
  <si>
    <t>Rape - fiscal cost to the courts/legal aid system</t>
  </si>
  <si>
    <t>Rape - fiscal cost to the prison system</t>
  </si>
  <si>
    <t>Rape - fiscal cost to other areas of the criminal justice system</t>
  </si>
  <si>
    <t>Rape - fiscal cost to NHS</t>
  </si>
  <si>
    <t>Rape - fiscal cost to victim services</t>
  </si>
  <si>
    <t>Other sexual offences - average cost per incident (fiscal, economic and social values)</t>
  </si>
  <si>
    <t>Other sexual offences - fiscal cost to the police</t>
  </si>
  <si>
    <t>Other sexual offences - fiscal cost to the probation system</t>
  </si>
  <si>
    <t>Other sexual offences - fiscal cost to the courts/legal aid system</t>
  </si>
  <si>
    <t>Other sexual offences - fiscal cost to the prison system</t>
  </si>
  <si>
    <t>Other sexual offences - fiscal cost to other areas of the criminal justice system</t>
  </si>
  <si>
    <t>Other sexual offences - fiscal cost to NHS</t>
  </si>
  <si>
    <t>Other sexual offences - fiscal cost to victim services</t>
  </si>
  <si>
    <t>Robbery - fiscal cost to victim services</t>
  </si>
  <si>
    <t>Domestic Burglary - fiscal cost to the police</t>
  </si>
  <si>
    <t>Domestic Burglary - average cost per incident (fiscal, economic and social values)</t>
  </si>
  <si>
    <t>Domestic Burglary - fiscal cost to the probation system</t>
  </si>
  <si>
    <t>Domestic Burglary - fiscal cost to the courts/legal aid system</t>
  </si>
  <si>
    <t>Domestic Burglary - fiscal cost to the prison system</t>
  </si>
  <si>
    <t>Domestic Burglary- fiscal cost to other areas of the criminal justice system</t>
  </si>
  <si>
    <t>Domestic Burglary- fiscal cost to other areas of the NHS</t>
  </si>
  <si>
    <t>Theft From Person - average cost per incident (fiscal, economic and social values)</t>
  </si>
  <si>
    <t>Theft From Person - fiscal cost to the police</t>
  </si>
  <si>
    <t>Theft From Person - fiscal cost to the probation system</t>
  </si>
  <si>
    <t>Theft From Person - fiscal cost to the courts/legal aid system</t>
  </si>
  <si>
    <t>Theft From Person - fiscal cost to the prison system</t>
  </si>
  <si>
    <t>Theft From Person - fiscal cost to other areas of the criminal justice system</t>
  </si>
  <si>
    <t>Theft From Person - fiscal cost to the NHS</t>
  </si>
  <si>
    <t>Theft of vehicle - fiscal cost to the NHS</t>
  </si>
  <si>
    <t>Theft from vehicle - fiscal cost to the NHS</t>
  </si>
  <si>
    <t>Arson - average cost per incident (fiscal, economic and social values)</t>
  </si>
  <si>
    <t>Arson - fiscal cost to the probation system</t>
  </si>
  <si>
    <t>Arson - fiscal cost to the courts/legal aid system</t>
  </si>
  <si>
    <t>Arson - fiscal cost to the prison system</t>
  </si>
  <si>
    <t>Arson - fiscal cost to other areas of the criminal justice system</t>
  </si>
  <si>
    <t>Arson - fiscal cost to the NHS</t>
  </si>
  <si>
    <t>Other Criminal Damage - average cost per incident (fiscal, economic and social values)</t>
  </si>
  <si>
    <t>Other Criminal damage - fiscal cost to the police</t>
  </si>
  <si>
    <t>Other Criminal damage - fiscal cost to the probation system</t>
  </si>
  <si>
    <t>Other Criminal damage - fiscal cost to the courts/legal aid system</t>
  </si>
  <si>
    <t>Other Criminal damage - fiscal cost to other areas of the criminal justice system</t>
  </si>
  <si>
    <t>Other Criminal damage - fiscal cost to the NHS</t>
  </si>
  <si>
    <t>Fraud - average cost per incident (fiscal, economic and social values)</t>
  </si>
  <si>
    <t>Fraud - fiscal cost to the police</t>
  </si>
  <si>
    <t>Fraud - fiscal cost to the probation system</t>
  </si>
  <si>
    <t>Fraud - fiscal cost to the courts/legal aid system</t>
  </si>
  <si>
    <t>Fraud - fiscal cost to the prison system</t>
  </si>
  <si>
    <t>Fraud - fiscal cost to the NHS</t>
  </si>
  <si>
    <t>Arson - fiscal cost to victim services</t>
  </si>
  <si>
    <t>Commercial burglary - average cost per incident (fiscal, economic and social values)</t>
  </si>
  <si>
    <t>Commercial burglary - fiscal cost to the police</t>
  </si>
  <si>
    <t>Commercial burglary - fiscal cost to the probation system</t>
  </si>
  <si>
    <t>Commercial burglary - fiscal cost to the courts/legal aid system</t>
  </si>
  <si>
    <t>Commercial burglary - fiscal cost to the prison system</t>
  </si>
  <si>
    <t>Commercial burglary - fiscal cost to other areas of the criminal justice system</t>
  </si>
  <si>
    <t>Commercial burglary - fiscal cost to the NHS</t>
  </si>
  <si>
    <t>Commercial Theft - average cost per incident (fiscal and economic values)</t>
  </si>
  <si>
    <t>Commercial Theft - fiscal cost to the police</t>
  </si>
  <si>
    <t>Commercial Theft - fiscal cost to the probation system</t>
  </si>
  <si>
    <t>Commercial Theft - fiscal cost to the courts/legal aid system</t>
  </si>
  <si>
    <t>Commercial Theft - fiscal cost to the prison system</t>
  </si>
  <si>
    <t>Commercial Theft - fiscal cost to other areas of the criminal justice system</t>
  </si>
  <si>
    <t>Theft of Commercial Vehicle - fiscal cost to the police</t>
  </si>
  <si>
    <t>Theft of Commercial Vehicle - fiscal cost to the probation system</t>
  </si>
  <si>
    <t>Theft of Commercial Vehicle - fiscal cost to the courts/legal aid system</t>
  </si>
  <si>
    <t>Theft of Commercial Vehicle - fiscal cost to the prison system</t>
  </si>
  <si>
    <t>Theft of Commercial Vehicle - fiscal cost to other areas of the criminal justice system</t>
  </si>
  <si>
    <t>Theft of Commercial Vehicle - fiscal cost to the NHS</t>
  </si>
  <si>
    <r>
      <t xml:space="preserve">Theft </t>
    </r>
    <r>
      <rPr>
        <b/>
        <u/>
        <sz val="10"/>
        <color indexed="8"/>
        <rFont val="Arial"/>
        <family val="2"/>
      </rPr>
      <t>of</t>
    </r>
    <r>
      <rPr>
        <b/>
        <sz val="10"/>
        <color indexed="8"/>
        <rFont val="Arial"/>
        <family val="2"/>
      </rPr>
      <t xml:space="preserve"> </t>
    </r>
    <r>
      <rPr>
        <sz val="10"/>
        <color indexed="8"/>
        <rFont val="Arial"/>
        <family val="2"/>
      </rPr>
      <t>Commercial Vehicle - average cost per incident (fiscal, economic and social values)</t>
    </r>
  </si>
  <si>
    <r>
      <t xml:space="preserve">Theft </t>
    </r>
    <r>
      <rPr>
        <b/>
        <u/>
        <sz val="10"/>
        <color indexed="8"/>
        <rFont val="Arial"/>
        <family val="2"/>
      </rPr>
      <t>from</t>
    </r>
    <r>
      <rPr>
        <sz val="10"/>
        <color indexed="8"/>
        <rFont val="Arial"/>
        <family val="2"/>
      </rPr>
      <t xml:space="preserve"> Commercial Vehicle - average cost per incident (fiscal, economic and social values)</t>
    </r>
  </si>
  <si>
    <t>Theft from Commercial Vehicle - fiscal cost to the police</t>
  </si>
  <si>
    <t>Theft from Commercial Vehicle - fiscal cost to the probation system</t>
  </si>
  <si>
    <t>Theft from Commercial Vehicle - fiscal cost to the courts/legal aid system</t>
  </si>
  <si>
    <t>Theft from Commercial Vehicle - fiscal cost to the prison system</t>
  </si>
  <si>
    <t>Theft from Commercial Vehicle - fiscal cost to other areas of the criminal justice system</t>
  </si>
  <si>
    <t>Commercial Arson - average cost per incident (fiscal, economic and social values)</t>
  </si>
  <si>
    <t>Commercial Arson - fiscal cost to the police</t>
  </si>
  <si>
    <t>Commercial Arson - fiscal cost to the probation system</t>
  </si>
  <si>
    <t>Commercial Arson - fiscal cost to the courts/legal aid system</t>
  </si>
  <si>
    <t>Commercial Arson - fiscal cost to the prison system</t>
  </si>
  <si>
    <t>Commercial Arson - fiscal cost to other areas of the criminal justice system</t>
  </si>
  <si>
    <t>Commercial Arson - fiscal cost to the NHS</t>
  </si>
  <si>
    <t>Commercial Arson - fiscal cost to victim services</t>
  </si>
  <si>
    <t>Commercial - Criminal damage - fiscal cost to the NHS</t>
  </si>
  <si>
    <t>These are the average fiscal, economic and social costs per incident of crime for 'violence with injury'.  Note that for modelling purposes, a multiplier may need to be applied to convert incidents of recorded crime to actual crime (see the CBA Guidance document - the multiplier for 2015/16 was 2.6).  To derive an annual fiscal, economic or social benefit, modelling may also need to take into account the average number of crime incidents committed per individual per year. Please be aware that the "violence with injury" category replaces the "serious wounding" &amp; "other wounding" categories in previous versions of this publication.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</si>
  <si>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'violence without injury'.  Note that for modelling purposes, a multiplier may need to be applied to convert incidents of recorded crime to actual crime (see the CBA Guidance document - the multiplier for 2015/16 was 1.5).  To derive an annual fiscal, economic or social benefit, modelling may also need to take into account the average number of crime incidents committed per individual per year. Please be aware that the "violence with injury" category replaces the "common assault" category in previous versions of this publication.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</si>
  <si>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'rape'.  Note that for modelling purposes, a multiplier may need to be applied to convert incidents of recorded crime to actual crime (see the CBA Guidance document - the multiplier for 2015/16 was 3.4).  To derive an annual fiscal, economic or social benefit, modelling may also need to take into account the average number of crime incidents committed per individual per year. Please be aware that the "rape" category is an expansion of the "sexual offences" category in previous versions of this publication.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</si>
  <si>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'other sexual offences'.  Note that for modelling purposes, a multiplier may need to be applied to convert incidents of recorded crime to actual crime (see the CBA Guidance document - the multiplier for 2015/16 was 16.5).  To derive an annual fiscal, economic or social benefit, modelling may also need to take into account the average number of crime incidents committed per individual per year. Please be aware that the "rape" &amp; "other sexual offences" categories are an expansion of the "sexual offences" category in previous versions of this publication.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</si>
  <si>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'robbery'.  Note that for modelling purposes, a multiplier may need to be applied to convert incidents of recorded crime to actual crime (see the CBA Guidance document - the multiplier for 2015/16 was 4.3).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</si>
  <si>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'domestic burglary'.  Note that for modelling purposes, a multiplier may need to be applied to convert incidents of recorded crime to actual crime (see the CBA Guidance document - the multiplier for 2015/16 was 3.6).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</si>
  <si>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'theft from person'.  Note that for modelling purposes, a multiplier may need to be applied to convert incidents of recorded crime to actual crime (see the CBA Guidance document - the multiplier for 2015/16 was 5.9).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</si>
  <si>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'theft of vehicle'.  Note that for modelling purposes, a multiplier may need to be applied to convert incidents of recorded crime to actual crime (see the CBA Guidance document - the multiplier for 2015/16 was 0.8).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</si>
  <si>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'theft from vehicle'.  Note that for modelling purposes, a multiplier may need to be applied to convert incidents of recorded crime to actual crime (see the CBA Guidance document - the multiplier for 2015/16 was 2.6).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t>
  </si>
  <si>
    <t xml:space="preserve">These are the average fiscal, economic and social costs per incident of 'commercial robbery'.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Please be aware that due to methodological limitations, the source documentation does not provide a crime multiplier for commercial crimes. </t>
  </si>
  <si>
    <t xml:space="preserve">These are the average fiscal, economic and social costs per incident of 'commercial burglary'.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Please be aware that due to methodological limitations, the source documentation does not provide a crime multiplier for commercial crimes. </t>
  </si>
  <si>
    <t xml:space="preserve">These are the average fiscal, economic and social costs per incident of 'commercial theft'.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Please be aware that due to methodological limitations, the source documentation does not provide a crime multiplier for commercial crimes. The "commercial theft" category replaces the "shoplifting" entries in previous editions of this publication. </t>
  </si>
  <si>
    <t xml:space="preserve">These are the average fiscal, economic and social costs per incident of 'theft of a commercial vehicle'.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Please be aware that due to methodological limitations, the source documentation does not provide a crime multiplier for commercial crimes. </t>
  </si>
  <si>
    <t xml:space="preserve">These are the average fiscal, economic and social costs per incident of 'theft from a commercial vehicle'.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Please be aware that due to methodological limitations, the source documentation does not provide a crime multiplier for commercial crimes. </t>
  </si>
  <si>
    <t xml:space="preserve">These are the average fiscal, economic and social costs per incident of 'commercial arson'.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Please be aware that due to methodological limitations, the source documentation does not provide a crime multiplier for commercial crimes. The "commercial arson" and "other commercial criminal damage" categories expand upon the "commercial criminal damage" category included in previous editions of this publication. </t>
  </si>
  <si>
    <t xml:space="preserve">These are the average fiscal, economic and social costs per incident of 'other commercial criminal damage'.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Please be aware that due to methodological limitations, the source documentation does not provide a crime multiplier for commercial crimes. The "commercial arson" and "other commercial criminal damage" categories expand upon the "commercial criminal damage" category included in previous editions of this publication. </t>
  </si>
  <si>
    <t>These are the average fiscal, economic and social costs per incident of crime for 'cyber crime'. To derive an annual fiscal, economic or social benefit, modelling may also need to take into account the average number of crime incidents committed per individual per year. Please be aware that the unit cost estimates for fraud and cyber crime are based upon experimental statistics and should be considered as partial estimates as they do not include some costs associated with each crime. The RAG rating has been rated red to reflect this.
The economic value falling to individuals (and/or businesses) includes increased insurance costs and loss of property.  The social value is based upon the physical and emotional impact on direct victims of crime.</t>
  </si>
  <si>
    <t>CR8.3.7</t>
  </si>
  <si>
    <t>CR8.4.7</t>
  </si>
  <si>
    <t>CR8.6.7</t>
  </si>
  <si>
    <t>CR8.7.6</t>
  </si>
  <si>
    <t>CR8.10.6</t>
  </si>
  <si>
    <t>CR8.15.6</t>
  </si>
  <si>
    <t>CR8.20</t>
  </si>
  <si>
    <t>CR8.20.1</t>
  </si>
  <si>
    <t>CR8.20.2</t>
  </si>
  <si>
    <t>CR8.20.3</t>
  </si>
  <si>
    <t>CR8.20.4</t>
  </si>
  <si>
    <t>CR8.20.5</t>
  </si>
  <si>
    <t>CR8.21</t>
  </si>
  <si>
    <t>CR8.21.1</t>
  </si>
  <si>
    <t>CR8.21.2</t>
  </si>
  <si>
    <t>CR8.21.3</t>
  </si>
  <si>
    <t>CR8.21.5</t>
  </si>
  <si>
    <t>CR8.8.6</t>
  </si>
  <si>
    <t>CR8.9.6</t>
  </si>
  <si>
    <t>CR8.11.6</t>
  </si>
  <si>
    <t>CR8.16.6</t>
  </si>
  <si>
    <t>CR8.18.6</t>
  </si>
  <si>
    <t>CR8.20.6</t>
  </si>
  <si>
    <t>CR8.20.7</t>
  </si>
  <si>
    <t>CR8.21.4</t>
  </si>
  <si>
    <t>Crime - average fiscal cost per incident of crime, across all types of crime; victim services</t>
  </si>
  <si>
    <t xml:space="preserve">These are the average fiscal, economic and social costs per incident of crime across all crime types - see the subsidiary (and related constituent) costs below for specific types of crime. Note that for modelling purposes, a multiplier may need to be applied to convert incidents of recorded crime to actual crime (see the CBA Guidance document - the multiplier for 2015/16 was 4.3).  To derive an annual fiscal, economic or social benefit, modelling may also need to take into account the average number of crime incidents committed per individual per year.
The economic value falling to individuals (and/or businesses) includes increased insurance costs and loss of property.  The social value is based upon the physical and emotional impact on direct victims of crime.
Note that this is an overall figure for the cost of crime, which includes a wide range of costs to the criminal justice system and other government departments, individuals and society.  As such, to avoid double-counting, this cost should not be combined with other cost figures for specific crime types. </t>
  </si>
  <si>
    <t>E&amp;S14.0</t>
  </si>
  <si>
    <t>Marginal Lifetime Benefit of Achieving 1-2 good GCSEs for males</t>
  </si>
  <si>
    <t>Marginal Lifetime Benefit of Achieving 1-2 good GCSEs for females</t>
  </si>
  <si>
    <t>Marginal Lifetime Benefit of Achieving 3-4 good GCSEs for males</t>
  </si>
  <si>
    <t>Marginal Lifetime Benefit Achieving 3-4 good GCSEs for females</t>
  </si>
  <si>
    <t>Average Lifetime Benefit of Achieving 3-4 good GCSEs for males</t>
  </si>
  <si>
    <t>Average Lifetime Benefit of Achieving 3-4 good GCSEs for females</t>
  </si>
  <si>
    <t>Marginal Lifetime Benefit of Achieving 5-7 good GCSEs for males</t>
  </si>
  <si>
    <t>Marginal Lifetime Benefit Achieving 5-7 good GCSEs for females</t>
  </si>
  <si>
    <t>Average Lifetime Benefit of Achieving 5-7 good GCSEs for males</t>
  </si>
  <si>
    <t>Average Lifetime Benefit of Achieving 5-7 good GCSEs for females</t>
  </si>
  <si>
    <t>Marginal Lifetime Benefit of Achieving 8+ good GCSEs for males</t>
  </si>
  <si>
    <t>Marginal Lifetime Benefit Achieving 8+ good GCSEs for females</t>
  </si>
  <si>
    <t>Average Lifetime Benefit of Achieving 8+ good GCSEs for males</t>
  </si>
  <si>
    <t>Average Lifetime Benefit of Achieving 8+ good GCSEs for females</t>
  </si>
  <si>
    <t>Marginal Lifetime Benefit of Achieving 5+ good GCSEs including English and maths compared to anything less for males</t>
  </si>
  <si>
    <t>Marginal Lifetime Benefit of Achieving 5+ good GCSEs including English and maths compared to anything less for females</t>
  </si>
  <si>
    <t>Average Lifetime Benefit of Achieving 5+ good GCSEs including English and maths compared to anything less for males</t>
  </si>
  <si>
    <t>Average Lifetime Benefit of Achieving 5+ good GCSEs including English and maths compared to anything less for females</t>
  </si>
  <si>
    <t>Marginal Lifetime Benefit of Achieving 2+ A Levels for males</t>
  </si>
  <si>
    <t>Marginal Lifetime Benefit Achieving 2+ A Levels for females</t>
  </si>
  <si>
    <t>Average Lifetime Benefit of Achieving 2+ A Levels for males</t>
  </si>
  <si>
    <t>Average Lifetime Benefit of Achieving 2+ A Levels for females</t>
  </si>
  <si>
    <t>E&amp;S15.0</t>
  </si>
  <si>
    <t>E&amp;S16.0</t>
  </si>
  <si>
    <t>E&amp;S17.0</t>
  </si>
  <si>
    <t>E&amp;S18.0</t>
  </si>
  <si>
    <t>E&amp;S17.1</t>
  </si>
  <si>
    <t>E&amp;S18.1</t>
  </si>
  <si>
    <t>RENTAL</t>
  </si>
  <si>
    <t>HO9.0</t>
  </si>
  <si>
    <t>HO10.0</t>
  </si>
  <si>
    <t>HO11.0</t>
  </si>
  <si>
    <t>HO12.0</t>
  </si>
  <si>
    <t>HO12.1</t>
  </si>
  <si>
    <t>HO12.2</t>
  </si>
  <si>
    <t>HO12.3</t>
  </si>
  <si>
    <t>HO12.4</t>
  </si>
  <si>
    <t>HO12.5</t>
  </si>
  <si>
    <t>Mapping severe and multiple disadvantage (Lankelly Chase Foundation, 2015), pg.42</t>
  </si>
  <si>
    <t>This is the average annual spend per person living with severe and multiple disadvantages (SMD) across all types of public service expenditure. SMD's signifies problems faced by adults involved in a combination of homelessness, substance misuse and criminal justice systems. It can therefore be considered as more reflective of the wider cost of rough sleeping on public service demand as it incorporates spending that extends beyond local authority expenditure. The overall cost is made up of several component costs, which are as follows; substance misuse (£763), physical health (£37,982), criminal justice (£9,176), mental hospitals (£37,982), prisons (£116,024), rough sleeping (£1,230), hostels (£15,664), benefits payments (£77,434) and substance services (£22,057).  These estimates have been derived using self-reported service usage data from a sample of 452 extended interviews of low level service users taken from the Multiple Exclusion Homelessness Survey (MEH). Usage figures have then been annualised and costed accordingly by the authors of the original source using a variety of available unit cost repositories, including this database. The source material also provides an estimate of the "career" cost of SMD - defined as the average time from the first severe experience to the date of the survey - at approximately £318,312. Further details on the full methodology can be found in the original source material as well as the supplementary technical annex (appendix H).
A red RAG rating has been allocated to reflect the degree of local variation and the complexity of individual cases, as well as the limitations surrounding the applicability of the unit cost to a wider cohort of rough sleepers. Users should be aware that this unit cost is only applicable for users of "low threshold services", targeted at single homelessness, drug users and street populations, which the source states is "somewhat narrower than the broader population represented by the (supporting people) short term services, chronic offenders and people receiving treatment for substance abuse".</t>
  </si>
  <si>
    <t>Adults living with severe and multiple disadvantages (SMD) - involvement in homelessness, substance misuse and criminal justice - average annual fiscal cost</t>
  </si>
  <si>
    <t>National Audit of Intermediate Care, 2017, p. 48</t>
  </si>
  <si>
    <t>Unit Costs of Health &amp; Social Care 2017 (Curtis, 2017), p.173</t>
  </si>
  <si>
    <t>Unit Costs of Health &amp; Social Care 2017 (Curtis, 2017), p.180</t>
  </si>
  <si>
    <t>This is the cost per hour for a Family Support Worker, calculated pro-rata from data on mean salary and working hours, on-costs (national insurance, pensions) and overheads (administration, management, office, training, utilities, general management and support services such as finance and HR).  The source also quotes an average cost per hour of client-related work of £54.  The data are national averages - the source provides a multiplier to calculate the average cost of London-based provision.  All costs quoted here are at 2016-17 prices.</t>
  </si>
  <si>
    <t>Average gross weekly expenditure on supporting older adults (65+) with a learning disability in residential care, England</t>
  </si>
  <si>
    <t>Average gross weekly expenditure on supporting older adults (65+) with a learning disability in nursing care, England</t>
  </si>
  <si>
    <t>ADULTS WITH SUPPORT NEEDS</t>
  </si>
  <si>
    <t>SS13.3</t>
  </si>
  <si>
    <t>SS16.1</t>
  </si>
  <si>
    <t>SS16.2</t>
  </si>
  <si>
    <t>SS16.3</t>
  </si>
  <si>
    <t>SS17.1</t>
  </si>
  <si>
    <t>SS17.2</t>
  </si>
  <si>
    <t>SS17.3</t>
  </si>
  <si>
    <t>SS18.3.4</t>
  </si>
  <si>
    <t>SS19.0</t>
  </si>
  <si>
    <t>SS20.0</t>
  </si>
  <si>
    <t>Community social care support package for people with learning disabilities per week</t>
  </si>
  <si>
    <t>Community social care support package for people with mental health problems per week</t>
  </si>
  <si>
    <t>Community social care support package for people with physical disabilities per week</t>
  </si>
  <si>
    <t>Unit Costs of Health &amp; Social Care 2017 (Curtis, 2017), p.126</t>
  </si>
  <si>
    <t>Unit Costs of Health &amp; Social Care 2017 (Curtis, 2017), p.127</t>
  </si>
  <si>
    <t>Unit Costs of Health &amp; Social Care 2017 (Curtis, 2017), p.128</t>
  </si>
  <si>
    <t>Unit Costs of Health &amp; Social Care 2017 (Curtis, 2017), p.129</t>
  </si>
  <si>
    <t>SS2.0.3</t>
  </si>
  <si>
    <t>Child taken into care: low cost, for children with no additional support needs - overall cost, for a specific care scenario</t>
  </si>
  <si>
    <t>Child taken into care (low cost, for children with no additional support needs) - weekly cost of maintaining the placement, for a specific care scenario</t>
  </si>
  <si>
    <t>Child taken into care (low cost, for children with no additional support needs) - cost per review, for a specific care scenario</t>
  </si>
  <si>
    <t>Child taken into care (low cost, for children with no additional support needs) - cost per care planning process, for a specific care scenario</t>
  </si>
  <si>
    <t>Child taken into care: median cost, for children with emotional or behavioural difficulties - overall cost, for a specific care scenario</t>
  </si>
  <si>
    <t>Child taken into care (median cost, for children with emotional or behavioural difficulties) - cost per care planning process, for a specific care scenario</t>
  </si>
  <si>
    <t>Child taken into care (median cost, for children with emotional or behavioural difficulties) - weekly cost of maintaining the placement, for a specific care scenario</t>
  </si>
  <si>
    <t>Child taken into care (median cost, for children with emotional or behavioural difficulties) - cost per review, for a specific care scenario</t>
  </si>
  <si>
    <t>Child taken into care (median cost, for children with emotional or behavioural difficulties) - weekly legal costs, for a specific care scenario</t>
  </si>
  <si>
    <t>Child taken into care: high cost, for children with emotional or behavioural difficulties and offending behaviour - overall cost, for a specific care scenario</t>
  </si>
  <si>
    <t>Child taken into care: very high cost, for children with disabilities, emotional or behavioural difficulties, and offending behaviour - overall cost, for a specific care scenario</t>
  </si>
  <si>
    <t>Child taken into care (high cost, for children with emotional or behavioural difficulties and offending behaviour) - cost per care planning process, for a specific care scenario</t>
  </si>
  <si>
    <t>Child taken into care (high cost, for children with emotional or behavioural difficulties and offending behaviour) - total cost of maintaining the placement, for a specific care scenario</t>
  </si>
  <si>
    <t>Child taken into care (high cost, for children with emotional or behavioural difficulties and offending behaviour) - cost per review, for a specific care scenario</t>
  </si>
  <si>
    <t>Child taken into care (very high cost, for children with disabilities, emotional or behavioural difficulties, and offending behaviour) - cost per care planning process, for a specific care scenario</t>
  </si>
  <si>
    <t>Child taken into care (very high cost, for children with disabilities, emotional or behavioural difficulties, and offending behaviour) - total cost of maintaining the placement, for a specific care scenario</t>
  </si>
  <si>
    <t>Child taken into care (very high cost, for children with disabilities, emotional or behavioural difficulties, and offending behaviour) - cost per review, for a specific care scenario</t>
  </si>
  <si>
    <t>Child taken into care (very high cost, for children with disabilities, emotional or behavioural difficulties, and offending behaviour) - cost of finding subsequent placements, for a specific care scenario</t>
  </si>
  <si>
    <t>Child taken into care (very high cost, for children with disabilities, emotional or behavioural difficulties, and offending behaviour) - weekly legal costs, for a specific care scenario</t>
  </si>
  <si>
    <t>EMPLOYERS</t>
  </si>
  <si>
    <t>E&amp;E11.0</t>
  </si>
  <si>
    <t>E&amp;E11.1</t>
  </si>
  <si>
    <t>E&amp;E10.2</t>
  </si>
  <si>
    <t>Absence Management: Annual Survey Report 2016 (Chartered Institute of Personnel and Development, 2016), p.7 and 12</t>
  </si>
  <si>
    <r>
      <t xml:space="preserve">Health at work – an independent review of sickness absence (Black, C. </t>
    </r>
    <r>
      <rPr>
        <i/>
        <u/>
        <sz val="10"/>
        <color indexed="12"/>
        <rFont val="Arial"/>
        <family val="2"/>
      </rPr>
      <t>et al</t>
    </r>
    <r>
      <rPr>
        <u/>
        <sz val="10"/>
        <color indexed="12"/>
        <rFont val="Arial"/>
        <family val="2"/>
      </rPr>
      <t>, 2011), p.15 and 19</t>
    </r>
  </si>
  <si>
    <r>
      <t xml:space="preserve">Note that this entry represents the indirect economic cost to employers (and the wider economy) of lost productivity relating to sickness absence; it does not give a fiscal cost falling to public agencies.  It is derived from evidence quoted in the 2011 publication, </t>
    </r>
    <r>
      <rPr>
        <i/>
        <sz val="10"/>
        <color indexed="8"/>
        <rFont val="Arial"/>
        <family val="2"/>
      </rPr>
      <t>Health at work – an independent review of sickness absence</t>
    </r>
    <r>
      <rPr>
        <sz val="10"/>
        <color indexed="8"/>
        <rFont val="Arial"/>
        <family val="2"/>
      </rPr>
      <t>, which states that an estimated 140 million working days are lost each year in Great Britain due to sickness absence, at a cost to the national economy of c. £15 billion, predominantly in lost output.  The cost per working day is therefore calculated by dividing £15bn (£15,000 million) by 140 million.
The red flag in part reflects the age of the research, but also the global nature of the cost derivation.  Note that beyond the statement that the cost predominantly comprises lost output, its component elements are not clear, so caution should be taken in modelling alongside the more specific entry above on the direct cost of sickness absence to employers related to sick pay.</t>
    </r>
  </si>
  <si>
    <t>The Cost of Brain Drain: Understanding the financial impact of staff turnover (Oxford Economics, 2014)</t>
  </si>
  <si>
    <t>This is the average economic cost to employers of staff turnover, for employees earning £25,000 a year or more.  It comprises two main components: (i) costs relating to the period of reduced productivity while new staff take time to reach their peak effectiveness ('optimal productivity') in their new job, quantified at an average of £25,181 per annum; and (ii) logistical costs such as advertising and recruitment agency fees, employing temporary staff, interviewing and induction, at £5,433 per annum (all costs are quoted at 2014/15 values).
The research identifies three factors as key determinants of the level of cost: the sector in question; the size of the firm hiring a new employee; and the background of the worker being recruited.  On the former, the report quantifies costs across five key sectors (IT/Tech; accounting; legal; media/advertising; and retail), with the costs ranging from £20,113 for retailers to £39,887 for legal firms.  The constituent cost associated with reduced productivity is £16,240 for retailers and £35,307 for the legal sector; logistical costs vary from £3,874 for retail to £6,630 for legal.  With regard to the size of firm, smaller firms are generally better at getting new workers to optimal productivity more quickly, and tend to keep logistical costs lower when replacing workers.  In terms of worker background, new employees from the same sector get up to speed much quicker than those from elsewhere, so costs relating to reduced productivity are lower.</t>
  </si>
  <si>
    <t>Sickness absence - economic (direct) cost to employers, sick pay, per day</t>
  </si>
  <si>
    <t>Sickness absence - economic (indirect) cost to employers, productivity losses, per day</t>
  </si>
  <si>
    <t>Staff turnover - annual cost to employers of losing an employee earning more than £25,000 per annum</t>
  </si>
  <si>
    <t>SOCIAL HOUSING</t>
  </si>
  <si>
    <t>At what cost? - An estimation of the financial costs of single homelessness in the UK, (Pleace 2015) p.7</t>
  </si>
  <si>
    <t>Floating support service - median support cost</t>
  </si>
  <si>
    <t>HO13.0</t>
  </si>
  <si>
    <t>HO14.0</t>
  </si>
  <si>
    <t>CR10.0</t>
  </si>
  <si>
    <t>Focus on Resettlement (FOR) programme - unit cost per hour</t>
  </si>
  <si>
    <t>Unit Costs in Criminal Justice (Brookes et al, 2013), p.45</t>
  </si>
  <si>
    <t xml:space="preserve">FOR is a brief cognitive motivational programme for short‐term prisoners. The objective is to increase the motivation of prisoners to become committed and active participants in setting their own agenda for change. The PSSRU Unit Costs in Criminal Justice 2013 states that each FOR programme consists of 11 total sessions, each with a duration of 2.5 hours (including breaks). The source also provides information on the unit cost per hour of face-to-face contact (£51), unit cost per FOR session (£84), and the overall unit cost per programme starter (£856) and completer (£,1510) (all prices are 2008-09). 
</t>
  </si>
  <si>
    <t>Juvenile Custody bed prices per day - secure children's home</t>
  </si>
  <si>
    <t>Per Night</t>
  </si>
  <si>
    <t>Unit Costs in Criminal Justice (Brookes et al, 2013), p.64</t>
  </si>
  <si>
    <t>This is the average unit cost of a bed per night in a secure children's home. The source also includes the minimum and maximum prices (£496 and £672 respectively) (all prices are 2008/09)</t>
  </si>
  <si>
    <t>Juvenile Custody bed prices per day - secure training centre</t>
  </si>
  <si>
    <t>This is the average unit cost of a bed per night in a secure training centre. The source also includes the minimum and maximum prices (£416 and £569 respectively) (all prices are 2008/09)</t>
  </si>
  <si>
    <t>Juvenile Custody bed prices per day - young offender institutions</t>
  </si>
  <si>
    <t>This is the average unit cost of a bed per night in a young offender institution. The source also includes the minimum and maximum prices (£127 and £366 respectively) (all prices are 2008/09)</t>
  </si>
  <si>
    <t>Attendance Centre - overall cost per offender per hour</t>
  </si>
  <si>
    <t>Per Hour</t>
  </si>
  <si>
    <t>Unit Costs in Criminal Justice (Brookes et al, 2013), p.72</t>
  </si>
  <si>
    <t xml:space="preserve">Young Offenders can be sentenced to attend a Junior Attendance Centre. Prior to the Youth Rehabilitation Order this would have been through an Attendance Centre Order (or it was sometimes used as an extra contact where a high level of supervision was required, for example Intensive Supervision &amp; Surveillance Programme). The length of an Attendance Order could range from a minimum of 12 hours (£269) to a maximum of 36 hours (£807). </t>
  </si>
  <si>
    <t>CR11.0</t>
  </si>
  <si>
    <t>CR11.1</t>
  </si>
  <si>
    <t>CR11.2</t>
  </si>
  <si>
    <t>CR11.3</t>
  </si>
  <si>
    <t xml:space="preserve">Missing Persons investigation - total unit cost per investigation (realistic case assessment) </t>
  </si>
  <si>
    <t>Establishing the Cost of Missing Persons Investigations (Greene &amp; Pakes, 2012)</t>
  </si>
  <si>
    <t xml:space="preserve">The source provides two estimates for the average total cost of a missing persons investigation, calculated using alternative methodologies. The first - summarised as the "minimum predictive" case - is the lower bracket of costs for such cases as it includes no repeat actions nor unexpected events. It is assumed that such a case can be defined as "medium risk medium term". The NPIA guidance defines medium risk as “the risk posed is likely to place the subject in danger or they are a threat to themselves or others. This category requires an active and measured response by police and other agencies in order to trace the missing person and support the person reporting.” NPIA (2010, p. 24).
The source estimates that the constituent costs for such a minimum predictive case are as follows; automatically generated tasks (£355.89); handover, meetings and other police liaisons (£677.84); extras (including car costs and use of the COMPACT computer software (£26.62), and the addition of a 25% assumed overhead cost. The total minimum predictive cost is therefore £1060.35.
The database here quotes what the source names the "realistic case assessment" as a more accurate estimate. The realistic case assessment is based upon an typical individual case study, which was confirmed as such by 33 experienced officers. The case used and adapted for the study was of a 30 year old woman who went missing for 27.5 hours and had gone missing 11 times before.  
The source notes the constituent costs for the realistic case assessment as follows; early tasks (including PNC, custody and home address checks) (£54.30); subsequent actions (including 48 hour review) (£101.80); home address search (£34.70); morning briefing, handovers, and administration regarding persons of relevance (£371.44); revisiting actions, including the individual being found and the closing of the case (£231.80); further shift handovers (£932); repeating missing persons strategic meeting (£180); extras (including car usage and COMPACT software) (£26.62), and the addition of a 25% overhead as before. The total realistic case assessment, as quoted here, is therefore £2415.80. </t>
  </si>
  <si>
    <t>CR12.0</t>
  </si>
  <si>
    <t>Total weekly cost of a Children's Centre</t>
  </si>
  <si>
    <t>Per centre per week</t>
  </si>
  <si>
    <t>Average cost of a Children's Centre per user hour</t>
  </si>
  <si>
    <t>Per user hour</t>
  </si>
  <si>
    <t xml:space="preserve">This is the average cost of running a children's centre per user hour, defined as time spent delivering service to families and children, taken from the case studies of 12 individual centres in England. Note the range between the lowest overall centre cost (£4) and the highest (£37) as this can obscure the mean, particularly within such a limited sample size. 
The average cost per user hour includes the cost of staff, venues, service contracts, and other costs (including food and materials). The source notes the variation in the cost per user hour between different services provided by the individual Children's centres, with low average costs for services which require a small staff to user ratio - such as childcare (£5) and activities for parents (£8) - and one-to-one activities demonstrating higher averages - for instance benefits or tax credit advice (£100). For more information, please see the source (p. 28-44). </t>
  </si>
  <si>
    <t>LIBRARIES</t>
  </si>
  <si>
    <t>Cost of Library Provision - per visit</t>
  </si>
  <si>
    <t>Annual cost of library provision - per user</t>
  </si>
  <si>
    <t>Annual cost of library provision - per active borrower</t>
  </si>
  <si>
    <t>Per active user</t>
  </si>
  <si>
    <t>E&amp;S19.0</t>
  </si>
  <si>
    <t>E&amp;S19.1</t>
  </si>
  <si>
    <t>E&amp;S20.0</t>
  </si>
  <si>
    <t>E&amp;S20.1</t>
  </si>
  <si>
    <t>Marginal Lifetime Benefit of Achieving a Level 2 Apprenticeship compared to anything less for males</t>
  </si>
  <si>
    <t>Marginal Lifetime Benefit of Achieving a Level 2 Apprenticeship compared to anything less for females</t>
  </si>
  <si>
    <t>Marginal Lifetime Benefit of Achieving a Level 3 Apprenticeship compared to level 2 qualifications for males</t>
  </si>
  <si>
    <t>Marginal Lifetime Benefit of Achieving a Level 3 Apprenticeship compared to level 2 qualifications for females</t>
  </si>
  <si>
    <t>E&amp;S17.2</t>
  </si>
  <si>
    <t>E&amp;S17.3</t>
  </si>
  <si>
    <t>E&amp;S17.4</t>
  </si>
  <si>
    <t>E&amp;S17.5</t>
  </si>
  <si>
    <t>E&amp;S17.6</t>
  </si>
  <si>
    <t>E&amp;S17.7</t>
  </si>
  <si>
    <t>E&amp;S17.8</t>
  </si>
  <si>
    <t>E&amp;S21.0</t>
  </si>
  <si>
    <t>E&amp;S21.1</t>
  </si>
  <si>
    <t>E&amp;S22.0</t>
  </si>
  <si>
    <t>E&amp;S22.1</t>
  </si>
  <si>
    <t>E&amp;S22.2</t>
  </si>
  <si>
    <t>TEACHERS</t>
  </si>
  <si>
    <t>State-funded school teacher - annual cost (including salary and on-costs) - across all settings and roles</t>
  </si>
  <si>
    <t xml:space="preserve">This is the average annual cost of a state-funded school teacher, across all setting types and roles as taken from the November 2017 schools workforce census. An uplift of 21.5% has been applied to account for non-wage labour costs (on-costs) such as employer's national insurance payments and pensions, which has been taken from Eurostat in line with government's Better Regulation Framework Manual. 
The source also quotes the same figure for men (£49,694), women (£46,170), head teachers (£83,714), other leadership teachers (£64,395) and classroom teachers (£43,011). </t>
  </si>
  <si>
    <t>State-funded school teacher - annual cost (including salary and on-costs) - nursery or primary</t>
  </si>
  <si>
    <t>State-funded school teacher - annual cost (including salary and on-costs) - secondary</t>
  </si>
  <si>
    <t>State-funded school teacher - annual cost (including salary and on-costs) - special</t>
  </si>
  <si>
    <t>State-funded school teacher - annual cost (including salary and on-costs) - centrally employed</t>
  </si>
  <si>
    <t xml:space="preserve">This is the average annual cost of a state-funded school teacher in a nursery or primary school as taken from the November 2017 schools workforce census. An uplift of 21.5% has been applied to account for non-wage labour costs (on-costs) such as employer's national insurance payments and pensions, which has been taken from Eurostat in line with government's Better Regulation Framework Manual. 
The source also quotes the same figure for men (£47,507), women (£45,198), head teachers (£77,396), other leadership teachers (£59,535) and classroom teachers (£41,067). </t>
  </si>
  <si>
    <t xml:space="preserve">This is the average annual cost of a state-funded school teacher in a secondary school as taken from the November 2017 schools workforce census. An uplift of 21.5% has been applied to account for non-wage labour costs (on-costs) such as employer's national insurance payments and pensions, which has been taken from Eurostat in line with government's Better Regulation Framework Manual. 
The source also quotes the same figure for men (£50,544), women (£47,021), head teachers (£111,173), other leadership teachers (£70,713) and classroom teachers (£44,834). </t>
  </si>
  <si>
    <t xml:space="preserve">This is the average annual cost of a state-funded school teacher in a special school as taken from the November 2017 schools workforce census. An uplift of 21.5% has been applied to account for non-wage labour costs (on-costs) such as employer's national insurance payments and pensions, which has been taken from Eurostat in line with government's Better Regulation Framework Manual. 
The source also quotes the same figure for men (£51,030), women (£48,965), head teachers (£90,761), other leadership teachers (£65,732) and classroom teachers (£43,983). </t>
  </si>
  <si>
    <t xml:space="preserve">This is the average annual cost of a state-funded school teacher who is centrally employed as taken from the November 2017 schools workforce census. An uplift of 21.5% has been applied to account for non-wage labour costs (on-costs) such as employer's national insurance payments and pensions, which has been taken from Eurostat in line with government's Better Regulation Framework Manual. 
The source also quotes the same figure for men (£45,927), women (£52,124), head teachers (£72,171), other leadership teachers (£61,479) and classroom teachers (£47,750).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</si>
  <si>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males with 1-2 GCSEs as their highest qualification are compared to those with no GCSEs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</si>
  <si>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males with 3-4 GCSEs as their highest qualification are compared to those with 1-2 GCSEs as their highest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</si>
  <si>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males with 5-7 GCSEs as their highest qualification are compared to those with 3-4 GCSEs as their highest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</si>
  <si>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females with 3-4 GCSEs as their highest qualification are compared to those with 1-2 GCSEs as their highest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</si>
  <si>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males who hold 2+A levels as their highest qualification are compared with those who hold level 2 qualifications.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</si>
  <si>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females who hold 2+A levels as their highest qualification are compared with those who hold 5-7 good GCSEs.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</si>
  <si>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Unit Costs of Health &amp; Social Care 2017 (Curtis, 2017), p.185</t>
  </si>
  <si>
    <t>Unit Costs of Health &amp; Social Care 2017 (Curtis, 2017), p.186</t>
  </si>
  <si>
    <t>Unit Costs of Health &amp; Social Care 2017 (Curtis, 2017), p.187</t>
  </si>
  <si>
    <t>Unit Costs of Health &amp; Social Care 2017 (Curtis, 2017), p.188</t>
  </si>
  <si>
    <t>Unit Costs of Health &amp; Social Care 2017 (Curtis, 2017), p.89</t>
  </si>
  <si>
    <t>Unit Costs of Health &amp; Social Care 2017 (Curtis, 2017), p.189</t>
  </si>
  <si>
    <t>Early intervention is a service for young people aged 14-35 during the first three years of a psychotic illness.  Early intervention teams provide a range of services tailored to the needs of young people with a view to facilitating recovery, including anti‐psychotic medications and psycho‐social interventions; teams can include doctors, nurses, psychologists, social workers, social care, other therapists and volunteers.  This is the average cost per hour per team member, and is derived from salary costs (including on-costs such as national insurance and pension contributions), plus an element to account for a proportion of overheads (management, admin, travel, telephone, supplies and services, utilities, etc.) and capital costs.  The source also provides London and non-London multipliers (see p.189 for details).  Related data are quoted for: the average cost per team contact (£184); the average annual cost per team member (£62,067); and the average cost per case (£6,896) (all costs are quoted at 2016-17 prices).</t>
  </si>
  <si>
    <t>Unit Costs of Health &amp; Social Care 2017 (Curtis, 2017), p.51</t>
  </si>
  <si>
    <t>This is the average cost of a course of six face-to-face CBT sessions delivered over a 12-week period to individual participants at risk of depression and/or anxiety disorders.  The source also quotes the cost of a course of CBT delivered as part of a suicide prevention package, at around £450 per person (see p.52; 2016-17 prices).  Note that the Unit Costs of Health &amp; Social Care 2013 publication (p.18) quotes a range of CBT costs for different types of patient group/provider.</t>
  </si>
  <si>
    <t>Clinical oncology (radiotherapy) - average cost of an outpatient attendance</t>
  </si>
  <si>
    <t xml:space="preserve">Note age of data - hence Red RAG rating.   The data are expressed in 2005 figures in the 2007 report.  It is important to caveat the quoted, average cost - potentially values can vary significantly depending on the case.  The source assumes truancy of individual during the 11 year period that a child spends at school.  Note comments on the constituent cost entries below, which explain how the cost per effective year has been calculated. N.B. Health, Crime and Social Services costs in the study are based on the costs of conduct disorder as a proxy for truancy and care should be taken with the analysis if these elements are included and appropriate caveats applied.
The economic cost to the individual relates to lost earnings due to truancy, which is quoted 'per effective year' (this is drawn from the lifetime figure quoted in Misspent Youth, and based on a 40-year working life.  However, note that the benefits will be delayed until the child is of working age, so may not be relevant to shorter-term modelling).  </t>
  </si>
  <si>
    <t>Note age of data - hence Red RAG rating.   Assumes that the cost to the education welfare system is only felt over two years when the child is 11 and 12. Per annum figure cited in NPC report.</t>
  </si>
  <si>
    <t>Note age of data - hence Red RAG rating.  The per year figure is based on BMJ study 18 years costs, i.e. the total effective lifetime figure divided by 16.  N.B. Health, Crime and Social Services costs in the study are based on the costs of conduct disorder as a proxy for truancy and care should be taken with the analysis if these elements are included and appropriate caveats applied.</t>
  </si>
  <si>
    <t>Note age of data - hence Red RAG rating.  Per effective year figure is based on BMJ study 18 years costs, i.e. the total effective lifetime figure divided by 16.  See the average crime entry in the Crime tab for a typical profile of how costs might be distributed across the police, probation and other criminal justice system agencies.  N.B. Health, Crime and Social Services costs in the study are based on the costs of conduct disorder as a proxy for truancy and care should be taken with the analysis if these elements are included and appropriate caveats applied.</t>
  </si>
  <si>
    <t>Note age of data - hence Red RAG rating.  Data here takes the cost of residential and foster care from the BMJ study. As for health and crime costs, we take the group with conduct problems as a proxy for truants. This totalled an extra £1,967 between the ages of 10 and 16 in 2005 prices. N.B. Health, Crime and Social Services costs in the study are based on the costs of conduct disorder as a proxy for truancy and care should be taken with the analysis if these elements are included and appropriate caveats applied.</t>
  </si>
  <si>
    <t xml:space="preserve">Note age of data - hence Red RAG rating.  The data are expressed in 2005 figures in the 2007 report.  It is important to caveat the quoted, average cost - potentially values can vary significantly depending on the case.  Note comments on constituent costs below, which explain how the cost per effective year has been calculated.
The economic cost to the individual relates to lost earnings due to permanent exclusion, which is quoted 'per effective year' (this is drawn from the lifetime figure quoted in Misspent Youth, and based on a 40-year working life.  However, note that the benefits will be delayed until the child is of working age, so may not be relevant to shorter-term modelling).  </t>
  </si>
  <si>
    <t xml:space="preserve">Note age of data - hence Red RAG rating.  Per effective year figure is based on BMJ study, 18 years costs, i.e. the total effective lifetime figure divided by 16. </t>
  </si>
  <si>
    <t>Note age of data - hence Red RAG rating.  Per effective year figure is based on BMJ study 18 years costs, i.e. the total effective lifetime figure divided by 16.  See the average crime entry in the Crime tab for a typical profile of how costs might be distributed across the police, probation and other criminal justice system agencies.</t>
  </si>
  <si>
    <t xml:space="preserve">Note age of data - hence Red RAG rating.  Per effective year figure is based on BMJ study 18 years costs, i.e. the total effective lifetime figure divided by 16. </t>
  </si>
  <si>
    <t>The fiscal value is calculated using the up-front costs of supporting qualification attainment, and the change in tax revenues (increase in income tax, national insurance contributions and VAT payments) associated with qualification attainment. The source quotes the benefit over an average working lifetime of 40 years, from which an average annual benefit has been calculated by dividing by 40 (multiply by 40 to return to the working lifetime figure).  The economic value represents the additional annual earnings gain per employee as a result of achieving the qualification; it is the lower estimate, and reflects an assumption that 50% of the employment benefit is attributed to the qualification, following the approach of McIntosh (2007), while higher estimates are available that are based on an assumption that 100% of the employment gain is a result of obtaining the qualification. As with the fiscal value, an annual benefit has been calculated by dividing the economic value for an average working lifetime (40 years) by 40.  Note that when considering the overall public value relating to achieving the qualification, the fiscal saving should be excluded, as this is effectively a transfer payment (taxation benefits simply move monies from the individual to the Exchequer).  Total public value is therefore £443 (2010/11 prices). Please note, benefits will be distributed variably across the lifetime.</t>
  </si>
  <si>
    <t>The fiscal value is calculated using the up-front costs of supporting qualification attainment, and the change in tax revenues (increase in income tax, national insurance contributions and VAT payments) associated with qualification attainment. The source quotes the benefit over an average working lifetime of 40 years, from which an average annual benefit has been calculated by dividing by 40 (multiply by 40 to return to the working lifetime figure).  The economic value represents the additional annual earnings gain per employee as a result of achieving the qualification; it is the lower estimate, and reflects an assumption that 50% of the employment benefit is attributed to the qualification, following the approach of McIntosh (2007), while higher estimates are available that are based on an assumption that 100% of the employment gain is a result of obtaining the qualification. As with the fiscal value, an annual benefit has been calculated by dividing the economic value for an average working lifetime (40 years) by 40.  Note that when considering the overall public value relating to achieving the qualification, the fiscal saving should be excluded, as this is effectively a transfer payment (taxation benefits simply move monies from the individual to the Exchequer).  Total public value is therefore £1,059 (2010/11 prices). Please note, benefits will be distributed variably across the lifetime.</t>
  </si>
  <si>
    <t>The fiscal value is calculated using the up-front costs of supporting qualification attainment, and the change in tax revenues (increase in income tax, national insurance contributions and VAT payments) associated with qualification attainment. The source quotes the benefit over an average working lifetime of 40 years, from which an average annual benefit has been calculated by dividing by 40 (multiply by 40 to return to the working lifetime figure).  The economic value represents the additional annual earnings gain per employee as a result of achieving the qualification; it is the lower estimate, and reflects an assumption that 50% of the employment benefit is attributed to the qualification, following the approach of McIntosh (2007), while higher estimates are available that are based on an assumption that 100% of the employment gain is a result of obtaining the qualification. As with the fiscal value, an annual benefit has been calculated by dividing the economic value for an average working lifetime (40 years) by 40.  Note that when considering the overall public value relating to achieving the qualification, the fiscal saving should be excluded, as this is effectively a transfer payment (taxation benefits simply move monies from the individual to the Exchequer).  Total public value is therefore £878 (2010/11 prices). Please note, benefits will be distributed variably across the lifetime.</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</si>
  <si>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males completing a level 2 apprenticeship compared to holding at least some lower or equivalent level 2 qualifications.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</si>
  <si>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females completing a level 2 apprenticeship compared to holding at least some lower or equivalent level 2 qualifications.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</si>
  <si>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The fiscal value is calculated using the up-front costs of supporting qualification attainment, and the change in tax revenues (increase in income tax, national insurance contributions and VAT payments) associated with qualification attainment. The source quotes the benefit over an average working lifetime of 40 years, from which an average annual benefit has been calculated by dividing by 40 (multiply by 40 to return to the working lifetime figure).  The economic value represents the additional annual earnings gain per employee as a result of achieving the qualification; it is the lower estimate, and reflects an assumption that 50% of the employment benefit is attributed to the qualification, following the approach of McIntosh (2007), while higher estimates are available that are based on an assumption that 100% of the employment gain is a result of obtaining the qualification. As with the fiscal value, an annual benefit has been calculated by dividing the economic value for an average working lifetime (40 years) by 40.  Note that when considering the overall public value relating to achieving the qualification, the fiscal saving should be excluded, as this is effectively a transfer payment (taxation benefits simply move monies from the individual to the Exchequer).  Total public value is therefore £921 (2010/11 prices). Please note, benefits will be distributed variably across the lifetime.</t>
  </si>
  <si>
    <t>The fiscal value is calculated using the up-front costs of supporting qualification attainment, and the change in tax revenues (increase in income tax, national insurance contributions and VAT payments) associated with qualification attainment. The source quotes the benefit over an average working lifetime of 40 years, from which an average annual benefit has been calculated by dividing by 40 (multiply by 40 to return to the working lifetime figure).  The economic value represents the additional annual earnings gain per employee as a result of achieving the qualification; it is the lower estimate, and reflects an assumption that 50% of the employment benefit is attributed to the qualification, following the approach of McIntosh (2007), while higher estimates are available that are based on an assumption that 100% of the employment gain is a result of obtaining the qualification. As with the fiscal value, an annual benefit has been calculated by dividing the economic value for an average working lifetime (40 years) by 40.  Note that when considering the overall public value relating to achieving the qualification, the fiscal saving should be excluded, as this is effectively a transfer payment (taxation benefits simply move monies from the individual to the Exchequer).  Total public value is therefore £1,382 (2010/11 prices). Please note, benefits will be distributed variably across the lifetime.</t>
  </si>
  <si>
    <t>The fiscal value is calculated using the up-front costs of supporting qualification attainment, and the change in tax revenues (increase in income tax, national insurance contributions and VAT payments) associated with qualification attainment. The source quotes the benefit over an average working lifetime of 40 years, from which an average annual benefit has been calculated by dividing by 40 (multiply by 40 to return to the working lifetime figure).  The economic value represents the additional annual earnings gain per employee as a result of achieving the qualification; it is the lower estimate, and reflects an assumption that 50% of the employment benefit is attributed to the qualification, following the approach of McIntosh (2007), while higher estimates are available that are based on an assumption that 100% of the employment gain is a result of obtaining the qualification. As with the fiscal value, an annual benefit has been calculated by dividing the economic value for an average working lifetime (40 years) by 40.  Note that when considering the overall public value relating to achieving the qualification, the fiscal saving should be excluded, as this is effectively a transfer payment (taxation benefits simply move monies from the individual to the Exchequer).  Total public value is therefore £1,123 (2010/11 prices). Please note, benefits will be distributed variably across the lifetime.</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</si>
  <si>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males completing a level 3 apprenticeship compared to those with a level 2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</si>
  <si>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females completing a level 3 apprenticeship compared to those with a level 2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</si>
  <si>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Graduate Level 4+ Qualification - lifetime fiscal and economic benefits - males</t>
  </si>
  <si>
    <t>Graduate Level 4+ Qualification - lifetime fiscal and economic benefits - females</t>
  </si>
  <si>
    <t>HO11.1</t>
  </si>
  <si>
    <t>HO11.2</t>
  </si>
  <si>
    <t>HO11.3</t>
  </si>
  <si>
    <t>HO11.4</t>
  </si>
  <si>
    <t>HO11.5</t>
  </si>
  <si>
    <t>HO13.1</t>
  </si>
  <si>
    <t>HO15.0</t>
  </si>
  <si>
    <t>Local authority own-provision residential care for older people - cost of buildings and on-costs per week</t>
  </si>
  <si>
    <t>Local authority own-provision residential care for older people - land costs</t>
  </si>
  <si>
    <t>Local authority own-provision residential care for older people - revenue costs per week</t>
  </si>
  <si>
    <t>Intermediate care, bed based - average direct cost per service user</t>
  </si>
  <si>
    <t>Intermediate care, crisis response - average direct cost per service user assessed</t>
  </si>
  <si>
    <t>Intermediate care, home based - average direct cost per service user</t>
  </si>
  <si>
    <t>Average gross weekly expenditure on supporting adults (18-64) with a learning disability in residential care, England</t>
  </si>
  <si>
    <t>Average gross weekly expenditure on supporting adults (18-64) with a learning disability in nursing care, England</t>
  </si>
  <si>
    <t xml:space="preserve">This is the mean cost per service user for intermediate home based care; it is the direct cost, excluding indirect costs and overheads.  The data were sourced from a survey of intermediate care commissioners.  The source document also indicates an average length of stay of 30.7 days.  Home based services are defined by the audit as being provided "to service users in their own home / care home". 
Note that in many local areas, costs will fall to both local authorities (Adult care services) and the NHS - the National Audit 2012 indicates an average split of 73% of costs falling to the Clinical Commissioning Group, and 27% to the local authority. </t>
  </si>
  <si>
    <t xml:space="preserve">This is the mean cost per service user for intermediate crisis response based care; it is the direct cost, excluding indirect costs and overheads.  The data were sourced from a survey of intermediate care commissioners.  Crisis response is defined by the audit as "services provided to service users in their own home / care home, with an expected standard response time of less than 4 hours. Crisis response services will typically provide an assessment and some may provide short-term interventions (usually up to 48 hours) with the aim of avoiding hospital admission."
Note that in many local areas, costs will fall to both local authorities (Adult care services) and the NHS - the National Audit 2012 indicates an average split of 73% of costs falling to the Clinical Commissioning Group, and 27% to the local authority.
</t>
  </si>
  <si>
    <t>This is the mean cost per service user for intermediate bed based care; it is the direct cost, excluding indirect costs and overheads.  The data were sourced from a survey of intermediate care commissioners.  The source document also indicates an average length of stay of 26.8 days.  Bed based services are defined by the audit as being provided in "an acute hospital, community hospital, residential care home, nursing home, or other bed based setting". 
Note that in many local areas, costs will fall to both local authorities (adult care services) and the NHS - the National Audit 2012 indicates an average split of 73% of costs falling to the Clinical Commissioning Group and 27% to the local authority. This has been chosen as a headline cost because much intermediate care is provided in a residential care setting; subsidiary costs are also provided for other care settings below.</t>
  </si>
  <si>
    <t>Adult Social Services</t>
  </si>
  <si>
    <t>Average gross weekly expenditure on supporting older adults (65+) with a physical support need in residential care, England</t>
  </si>
  <si>
    <t>Average gross weekly expenditure on supporting older adults (65+) with a physical support need in nursing care, England</t>
  </si>
  <si>
    <t>Average gross weekly expenditure on supporting adults (18-64) with a physical support need in residential care, England</t>
  </si>
  <si>
    <t>Average gross weekly expenditure on supporting adults (18-64) with a physical support need in nursing care, England</t>
  </si>
  <si>
    <t>Average gross weekly expenditure on supporting older adults (65+) with a sensory support need in residential care, England</t>
  </si>
  <si>
    <t>Average gross weekly expenditure on supporting older adults (65+) with a sensory support need in nursing care, England</t>
  </si>
  <si>
    <t>Average gross weekly expenditure on supporting adults (18-64) with a sensory support need in residential care, England</t>
  </si>
  <si>
    <t>Average gross weekly expenditure on supporting adults (18-64) with a sensory support need in nursing care, England</t>
  </si>
  <si>
    <t>Average gross weekly expenditure on supporting older adults (65+) with a memory or cognition support need in residential care, England</t>
  </si>
  <si>
    <t>Average gross weekly expenditure on supporting older adults (65+) with a memory or cognition support need in nursing care, England</t>
  </si>
  <si>
    <t>Average gross weekly expenditure on supporting adults (18-64) with a memory or cognition support need in residential care, England</t>
  </si>
  <si>
    <t>Average gross weekly expenditure on supporting adults (18-64) with a memory or cognition support need in nursing care, England</t>
  </si>
  <si>
    <t>Average gross weekly expenditure on supporting older adults (65+) with a mental health support need in residential care, England</t>
  </si>
  <si>
    <t>Average gross weekly expenditure on supporting older adults (65+) with a mental health support need in nursing care, England</t>
  </si>
  <si>
    <t>Average gross weekly expenditure on supporting adults (18-64) with a mental health support need in residential care, England</t>
  </si>
  <si>
    <t>Average gross weekly expenditure on supporting adults (18-64) with a mental health support need in nursing care, England</t>
  </si>
  <si>
    <t>Costs and Consequences of Placing Children in Care (Ward et al, 2008), quoted in Unit Costs of Health and Social Care 2011 (Curtis, 2011), p.119</t>
  </si>
  <si>
    <t>Child taken into care (high cost, for children with emotional or behavioural difficulties and offending behaviour) - cost of finding subsequent placement, for a specific care scenario</t>
  </si>
  <si>
    <t>An Inpatient Unit (IPU) provides care to service users with substance-related problems (medical, psychological or social) that are so severe that they require medical, psychiatric and psychological care.  The key feature of an IPU is the provision of these services with 24-hour cover, seven days per week, from a multidisciplinary clinical team who have had specialist training in managing addictive behaviours.  
Treatment for drug or alcohol misuse in an inpatient setting may involve one of more of the following interventions: assessment; stabilisation; and assisted withdrawal (detoxification).  Treatment is provided in either: general hospital psychiatric units; specialist drug misuse inpatient units in hospitals; and residential rehabilitation units.  This is an average cost per day across these different types of provision and setting; the source also quotes a weekly cost of £1,076 (2016-17 prices).  Data are based on salary costs (including on-costs), overheads (including drugs, pharmacy and dispensing costs, plus all other aspects of treatment and general overheads), and indirect costs and overheads (including capital charges, finance, transport, personnel, etc.).</t>
  </si>
  <si>
    <t>Unit Costs of Health &amp; Social Care 2017 (Curtis, 2017), p.61</t>
  </si>
  <si>
    <t>Unit Costs of Health &amp; Social Care 2017 (Curtis, 2017), p.60</t>
  </si>
  <si>
    <t>Unit Costs of Health &amp; Social Care 2017 (Curtis, 2017), p.62</t>
  </si>
  <si>
    <t>Specialist prescribing is community prescribing for drug misuse in a specialist drug service setting, normally staffed by a multidisciplinary substance misuse team.  Specialist prescribing interventions normally include comprehensive assessments of drug treatment need and the provision of a full range of prescribing treatments in the context of care-planned drug treatment.  The specialist team should also provide, or provide access to, a range of other care-planned health-care interventions including psychosocial interventions, a wide range of hard reduction interventions, Blood Borne Virus (BBV) prevention and vaccination, and abstinence-oriented interventions.  The teams include specialist doctors who are usually consultant addiction psychiatrists.
This is the average cost per patient week for specialist prescribing.  It includes staffing (salaries plus on-costs),  direct overheads (including drugs, pharmacy dispensing, rent, rates, staff travel, training, service user travel, volunteer expenses, office costs and non-pay administration) and indirect costs and overheads (including capital costs, housekeeping, catering, porterage, transport, waste disposal, security, finance and HR, communications and corporate charges).  It is based on information provided by the National Treatment Agency for Substance Misuse (NTA).  The source also quotes the mean cost per face-to-face client contact in a NHS and PCT combined drugs and alcohol mental health team as £126, and per non face-to-face contact as £54 (both at 2016-17 prices).</t>
  </si>
  <si>
    <t>Average cost of an elderly individual leaving hospital not having support - planned admission</t>
  </si>
  <si>
    <t>Going Home Alone - counting the cost to older people and the NHS, Royal Voluntary Service, p.33</t>
  </si>
  <si>
    <t>Average cost of an elderly individual leaving hospital not having support - unplanned admission</t>
  </si>
  <si>
    <t>Going Home Alone - counting the cost to older people and the NHS, Royal Voluntary Service, p.34</t>
  </si>
  <si>
    <t>Average annual cost per case of perinatal depression - mother</t>
  </si>
  <si>
    <t>The cost of perinatal mental health problems, Maternal Mental Health Alliance, pg.12</t>
  </si>
  <si>
    <t>Average annual cost per case of perinatal depression - child</t>
  </si>
  <si>
    <t>The cost of perinatal mental health problems, Maternal Mental Health Alliance, pg.13</t>
  </si>
  <si>
    <t>Average annual cost per case of perinatal anxiety - mother</t>
  </si>
  <si>
    <t>The cost of perinatal mental health problems, Maternal Mental Health Alliance, pg.14</t>
  </si>
  <si>
    <t>Average annual cost per case of perinatal anxiety - child</t>
  </si>
  <si>
    <t>The cost of perinatal mental health problems, Maternal Mental Health Alliance, pg.15</t>
  </si>
  <si>
    <t>DISABILITY</t>
  </si>
  <si>
    <t>Hoist, lift or evac chair for disabled accessibility - initial cost</t>
  </si>
  <si>
    <t>Per installation</t>
  </si>
  <si>
    <t>Costs and benefits to service providers of making reasonable adjustments under Part III of the Disability Discrimination Act, DWP, 2002, p. 89</t>
  </si>
  <si>
    <t>Accessible toilets for disabled people - initial cost</t>
  </si>
  <si>
    <t>Wheelchair or disability access - initial cost</t>
  </si>
  <si>
    <t>Dedicated parking facilities for disabled people - initial cost</t>
  </si>
  <si>
    <t>Accessible website for disabled people - per annum on-going costs</t>
  </si>
  <si>
    <t>Costs and benefits to service providers of making reasonable adjustments under Part III of the Disability Discrimination Act, DWP, 2002, p. 91</t>
  </si>
  <si>
    <t>WORKPLACE</t>
  </si>
  <si>
    <t>CHRONIC CONDITIONS</t>
  </si>
  <si>
    <t>The importance of multimorbidity in explaining utilisation and costs across health and social care settings: Evidence from South Somerset's Symphony project, CHE, p.8; pg.36-51</t>
  </si>
  <si>
    <t>Per tooth</t>
  </si>
  <si>
    <t>Improving Child Oral Health: Cost Analysis of a National Nursery Toothbrushing Programme, Anopa et al.</t>
  </si>
  <si>
    <t>Decayed tooth - expected cost</t>
  </si>
  <si>
    <t xml:space="preserve">This is the average cost of a decayed tooth, calculated as the total cost of expected treatment as a direct result of decay. It is taken from the report "Improving Child Oral Health: Cost Analysis of a National Toothbrushing Programme". The study examined data for 5-year old children across a ten year period (1999/00 - 2009/10) in Scotland.
Please note, as the children are under 18, their dental care is free. Therefore, the cost here does not account for any individual financial charges which may occur for adult patients, which could mitigate costs. 
This cost includes calculations regarding the probability of a decayed tooth leading directly to various forms of treatment (including fillings and extractions, more information provided via other entries), which may not be realised in every case. </t>
  </si>
  <si>
    <t>NHS Dentist (performer-only) - average cost per hour</t>
  </si>
  <si>
    <t>MATERNITY</t>
  </si>
  <si>
    <t>Estimating the costs to the NHS of smoking in pregnancy for pregnant women and infants, PHRC, p24-25</t>
  </si>
  <si>
    <t>Cost of pre-term birth attributable to smoking in pregnancy</t>
  </si>
  <si>
    <t>Estimating the costs to the NHS of smoking in pregnancy for pregnant women and infants, PHRC, p24-27</t>
  </si>
  <si>
    <t>Type 1 Diabetes - Annual Cost</t>
  </si>
  <si>
    <t>Estimating the current and future costs of Type 1 and Type 2 diabetes in the UK, including direct health costs and indirect societal and productivity costs (Hex et al, 2012), p.858-860</t>
  </si>
  <si>
    <t>Type 2 Diabetes - Annual Cost</t>
  </si>
  <si>
    <t>Children in Need, case management processes - average cost of ongoing support, per month (all children)</t>
  </si>
  <si>
    <t>SS5.0.3.1</t>
  </si>
  <si>
    <t>SS5.0.3.2</t>
  </si>
  <si>
    <t>SS5.0.3.3</t>
  </si>
  <si>
    <t>SS5.0.3.4</t>
  </si>
  <si>
    <t>SS5.0.3.5</t>
  </si>
  <si>
    <t>SS5.0.3.6</t>
  </si>
  <si>
    <t>Understanding costs and outcomes in child welfare services (Holmes &amp; McDermid), 2012, London: Jessica Kingsley Publishers.</t>
  </si>
  <si>
    <t>Children in Need, case management processes - average cost of ongoing support, per month (no additional needs)</t>
  </si>
  <si>
    <t>Children in Need, case management processes - average cost of ongoing support, per month (under six)</t>
  </si>
  <si>
    <t>Child Protection Plan, case management processes - average cost of ongoing support, per month (all children)</t>
  </si>
  <si>
    <t>Child Protection Plan, case management processes - average cost of ongoing support, per month (under six)</t>
  </si>
  <si>
    <t>Children in Need, case management processes - average cost of ongoing support, per month (emotional or behavioural difficulties)</t>
  </si>
  <si>
    <t>Children in Need, case management processes - average cost of ongoing support, per month (emotional or behavioural difficulties and one other factor)</t>
  </si>
  <si>
    <t xml:space="preserve">This is the average cost of health care provision for people sustaining a hip fracture.  It has been derived by the GMCA Research Team utilising a combination of existing evidence from the National Osteoporosis Society and unit costs presented elsewhere in this database.  Evidence indicates that the majority of the costs the health services are incurred within the first year but social care costs are realised within the second and third year following the fracture. The amber flag reflects the level of local variation in costs and the provenance of the overall aggregated figure.  A complete disaggregation of the calculation is available on request to the GMCA Research Team. </t>
  </si>
  <si>
    <t xml:space="preserve">This is the average overall cost to health and social care provision for people sustaining a hip fracture.  It has been derived by the GMCA Research Team utilising a combination of existing evidence from the National Osteoporosis Society and unit costs presented elsewhere in this database.  Evidence indicates that the majority of the costs the health services are incurred within the first year but social care costs are realised within the second and third year following the fracture. The economic value is reflective of the assumption that a third of social care users will be self-funded. The amber flag reflects the level of local variation in costs and the provenance of the overall aggregated figure.  A complete disaggregation of the calculation is available on request to the GMCA Research Team. </t>
  </si>
  <si>
    <t>Average cost of an injurious fall</t>
  </si>
  <si>
    <t>A return on investment tool for the assessment of falls prevention programmes for older people living in the community, PHE (2018)</t>
  </si>
  <si>
    <t>The economic burden of stroke care in England, Wales and Northern Ireland: Using a national stroke register to estimate and report patient-level health economic outcomes in stroke (Xu et al, 2017)</t>
  </si>
  <si>
    <t>Dental filling - cost per tooth</t>
  </si>
  <si>
    <t>Dental extraction - cost per tooth</t>
  </si>
  <si>
    <t>Average health and social care costs of a patient with a stroke - all types</t>
  </si>
  <si>
    <t>Cost of pregnancy outcomes for the mother caused by maternal smoking</t>
  </si>
  <si>
    <t>Additional healthcare costs of children born to pregnant smokers - first year following birth</t>
  </si>
  <si>
    <t xml:space="preserve">This is the average additional healthcare cost of a child born to a mother who smoked during pregnancy compared to a child born to a non-smoking mother. "Smoking in pregnancy" is defined by the source as considering children who were born to mothers who had one or more smoking Medcodes or Multilex codes for smoking cessation medication prescriptions between the time of conception and delivery. 
The cost incorporates increased in healthcare usage across various services including primary care consultations, prescription costs, primary care diagnostic testing and secondary care. In addition to the one year costs, the source also quotes the five year additional cost of children born to smoking mothers at £221.80 from birth. The source also provides costs disaggregated by other criteria including maternal age, socio-economic status  and delivery method - please consult the original report for further information. </t>
  </si>
  <si>
    <t>SEXUAL HEALTH</t>
  </si>
  <si>
    <t>Community sexual health services - HIV/AIDS specialist nursing (face-to-face)</t>
  </si>
  <si>
    <t>HE15.0</t>
  </si>
  <si>
    <t>HE15.1</t>
  </si>
  <si>
    <t>HE15.2</t>
  </si>
  <si>
    <t>HE26.0</t>
  </si>
  <si>
    <t>HE27.0</t>
  </si>
  <si>
    <t>HE28.0</t>
  </si>
  <si>
    <t>HE28.1</t>
  </si>
  <si>
    <t>HE28.2</t>
  </si>
  <si>
    <t>HE20.6</t>
  </si>
  <si>
    <t>HE22.2</t>
  </si>
  <si>
    <t>Bespoke GMCA modelling, adapted from National Osteoporosis Society research</t>
  </si>
  <si>
    <t>NHS Dentist (providing-performer) - average cost per hour</t>
  </si>
  <si>
    <t>Sulphur Dioxide (SO2) - Air Quality Damage Costs</t>
  </si>
  <si>
    <t>Oxides of Nitrogen (NOX) - Air Quality Damage Cost, National Average</t>
  </si>
  <si>
    <t>Oxides of Nitrogen (NOX) - Air Quality Damage Cost, Road Transport Average</t>
  </si>
  <si>
    <t>Particulate Matter (PM2.5) - Air Quality Damage Cost, Domestic Average</t>
  </si>
  <si>
    <t>Particulate Matter (PM2.5) - Air Quality Damage Cost, National Average</t>
  </si>
  <si>
    <t>Particulate Matter (PM2.5) - Air Quality Damage Cost, Road Transport Average</t>
  </si>
  <si>
    <t>Child into local authority foster care (cost per week): other services, including education</t>
  </si>
  <si>
    <t>Estimating the health‐care costs of children born to pregnant smokers in England: cohort study using primary and secondary health‐care data (Vaz et al, 2017)</t>
  </si>
  <si>
    <t>Stair lift, straight (mean cost)</t>
  </si>
  <si>
    <t>Ramp to front/back door (mean total cost)</t>
  </si>
  <si>
    <t>Handrail, external (mean total cost)</t>
  </si>
  <si>
    <t>This is the cost per Multi-Systemic Therapy (MST) session, of one hour in duration.  The source also quotes a cost per hour worked (as opposed to face-to-face client contact) for an MST psychologist of £52 (2017-18 prices).  Costs are derived from data on salary and on-costs (e.g. national insurance, pensions), overheads (management, administration, office, travel/transport, telephone, education/training, supplies, utilities), and capital overheads (buildings, land).  The research involved costing a randomised controlled trial of interventions for adolescents aged 11-17 years at risk of continuing criminal activity.</t>
  </si>
  <si>
    <t>Unit Costs of Health &amp; Social Care 2018 (Curtis, 2018) p76</t>
  </si>
  <si>
    <t>The source provides a number of scenarios for children with different needs/circumstances (costs for the other scenarios are also provided in this database).  This is a 'low cost' scenario, for a child with no additional support needs (the source states that 27% of the original sample used to derive the cost had no additional support needs).  The scenario on which the cost is based, as outlined in the source, is for a child placed with the same foster parents for eight years before leaving care, with reviews and an up-dated care plan every six months, and some educational/health expenditure.  It is made up of £45,140 of local authority expenditure and £14,790 for other public sector agencies. Note that the source data covers an 87-week period; users may wish to adapted this figure to develop an annual cost, using the constituent costs detailed below (see the individual entries for information on the source data and how an annual cost may be derived from them). These figures should not be used in conjunction with other overlapping unit costs quoted elsewhere in the database (particularly entries SS2.0 - SS3.0) else users risk double-counting costs.</t>
  </si>
  <si>
    <t>Constituent cost to the above, which represents the lowest cost of a number of scenarios presented in the source (and reproduced in this database), which cover children with a range of needs/circumstances.  The scenario on which the cost is based, as outlined in the source, is for a child placed with the same foster parents for eight years before leaving care, with reviews and an up-dated care plan every six months, and some educational/health expenditure.  It is made up of £137 per care planning process to the local authority and £169 for other public sector agencies. 
Previous iterations of this database quoted the same figure as an annual estimate. Whilst this has now been altered in order to prevent any instances of double-counting, the original source suggests that over an 87-week period care plans were updated three times which can be used to derive an annual figure. These figures should not be used in conjunction with other overlapping unit costs quoted elsewhere in the database (particularly entries SS2.0 - SS3.0) else users risk double-counting costs.</t>
  </si>
  <si>
    <t>Constituent cost to the above, which represents the lowest cost of a number of scenarios presented in the source (and reproduced in this database), which cover children with a range of needs/circumstances.  The scenario on which the cost is based, as outlined in the source, is for a child placed with the same foster parents for eight years before leaving care, with reviews and an up-dated care plan every six months, and some educational/health expenditure.  
Previous iterations of this database quoted the same figure as an annual estimate. Whilst this has now been altered in order to prevent any instances of double-counting, the original source suggests that placements lasted for an average of 87-weeks, with an additional cost of £162 to other agencies over the same period. These figures should not be used in conjunction with other overlapping unit costs quoted elsewhere in the database (particularly entries SS2.0 - SS3.0) else users risk double-counting costs.</t>
  </si>
  <si>
    <t>Constituent cost to the above, which represents the lowest cost of a number of scenarios presented in the source (and reproduced in this database), which cover children with a range of needs/circumstances.  The scenario on which the cost is based, as outlined in the source, is for a child placed with the same foster parents for eight years before leaving care, with reviews and an up-dated care plan every six months, and some educational/health expenditure.  
Previous iterations of this database quoted the same figure as an annual estimate. Whilst this has now been altered in order to prevent any instances of double-counting, the original source suggests that there were three reviews over a 87-week period, which can be used to derive an annual figure.  An additional £13 may also be borne for the cost of the first 16+ review. These figures should not be used in conjunction with other overlapping unit costs quoted elsewhere in the database (particularly entries SS2.0 - SS3.0) else users risk double-counting costs.</t>
  </si>
  <si>
    <t>Constituent cost to the above, which represents the lowest cost of a number of scenarios presented in the source (and reproduced in this database), which cover children with a range of needs/circumstances.  The scenario on which the cost is based, as outlined in the source, is for a child placed with the same foster parents for eight years before leaving care, with reviews and an up-dated care plan every six months, and some educational/health expenditure.  It is made up of £5.40 per week of local authority expenditure and a cost of £10 to other agencies. 
Previous iterations of this database quoted the same figure as an annual estimate. Whilst this has now been altered in order to prevent any instances of double-counting, the original source suggests that legal support will be provided for a total of 87 weeks which can be used to derive an annual figure. These figures should not be used in conjunction with other overlapping unit costs quoted elsewhere in the database (particularly entries SS2.0 - SS3.0) else users risk double-counting costs.</t>
  </si>
  <si>
    <t>Note that this a stand alone cost.  The data represent the lowest cost of a number of scenarios presented in the source (and reproduced in this database), which cover children with a range of needs/circumstances.  The scenario on which the cost is based, as outlined in the source, is for a child placed with the same foster parents for eight years before leaving care, with reviews and an up-dated care plan every six months, and some educational/health expenditure.  Transition to leaving care is a one-off event, and should not be included in any derived annual costs. These figures should not be used in conjunction with other overlapping unit costs quoted elsewhere in the database (particularly entries SS2.0 - SS3.0) else users risk double-counting costs.</t>
  </si>
  <si>
    <t>The source provides a number of scenarios for children with different needs/circumstances (costs for the other scenarios are also provided in this database).  This scenario, for children with emotional or behavioural difficulties, provides a median cost, based upon (as outlined in the source) a child placed with foster parents who subsequently changes placement to new foster parents within the same authority, with reviews and an up-dated care plan every six months, and some educational/health expenditure.  It is made up of £40,910 of local authority expenditure and £25,110 for other public sector agencies. Note that the source data covers an 87-week period; users may wish to adapted this figure to develop an annual cost, using the constituent costs detailed below (see the individual entries for information on the source data and how an annual cost may be derived from them).  These figures should not be used in conjunction with other overlapping unit costs quoted elsewhere in the database (particularly entries SS2.0 - SS3.0) else users risk double-counting costs.</t>
  </si>
  <si>
    <t>Constituent cost to the above, which represents a median cost scenario (and reproduced in this database), which cover children with a range of needs/circumstances.  The scenario on which the cost is based, as outlined in the source, is for a child placed with foster parents who subsequently changes placement to new foster parents within the same authority, with reviews and an up-dated care plan every six months, and some educational/health expenditure.   It is made up of £137 per care planning process to the local authority and £169 for other public sector agencies. 
Previous iterations of this database quoted the same figure as an annual estimate. Whilst this has now been altered in order to prevent any instances of double-counting, the original source suggests that over an 87-week period care plans were updated three times which can be used to derive an annual figure. These figures should not be used in conjunction with other overlapping unit costs quoted elsewhere in the database (particularly entries SS2.0 - SS3.0) else users risk double-counting costs.</t>
  </si>
  <si>
    <t>Constituent cost to the above, which represents a median cost scenario, one of a number of low/high/very high cost scenarios presented in the source (and reproduced in this database), which cover children with a range of needs/circumstances.  The scenario on which the cost is based, as outlined in the source, is for a child placed with foster parents who subsequently changes placement to new foster parents within the same authority, with reviews and an up-dated care plan every six months, and some educational/health expenditure.  
Previous iterations of this database quoted the same figure as an annual estimate. Whilst this has now been altered in order to prevent any instances of double-counting, the original source suggests that placements lasted for an average of 87-weeks, with an additional £4,791 net cost for fluctuations in social worker activity, which can be used to derive an annual figure. These figures should not be used in conjunction with other overlapping unit costs quoted elsewhere in the database (particularly entries SS2.0 - SS3.0) else users risk double-counting costs.</t>
  </si>
  <si>
    <t>Constituent cost to the above, which represents a median cost scenario, one of a number of low/high/very high cost scenarios presented in the source (and reproduced in this database), which cover children with a range of needs/circumstances.  The scenario on which the cost is based, as outlined in the source, is for a child placed with foster parents who subsequently changes placement to new foster parents within the same authority, with reviews and an up-dated care plan every six months, and some educational/health expenditure.  It is made up of £466 of local authority expenditure per review and £54 for other agencies. 
Previous iterations of this database quoted the same figure as an annual estimate. Whilst this has now been altered in order to prevent any instances of double-counting, the original source suggests that there were three reviews over a 87-week period, which can be used to derive an annual figure. These figures should not be used in conjunction with other overlapping unit costs quoted elsewhere in the database (particularly entries SS2.0 - SS3.0) else users risk double-counting costs.</t>
  </si>
  <si>
    <t>Constituent cost to the above, which represents a median cost scenario, one of a number of low/high/very high cost scenarios presented in the source (and reproduced in this database), which cover children with a range of needs/circumstances.  The scenario on which the cost is based, as outlined in the source, is for a child placed with foster parents who subsequently changes placement to new foster parents within the same authority, with reviews and an up-dated care plan every six months, and some educational/health expenditure.  It is made up of £6.60 per week of local authority expenditure and a cost of £12.10 to other agencies. 
Previous iterations of this database quoted the same figure as an annual estimate. Whilst this has now been altered in order to prevent any instances of double-counting, the original source suggests that legal support will be provided for a total of 87 weeks which can be used to derive an annual figure. These figures should not be used in conjunction with other overlapping unit costs quoted elsewhere in the database (particularly entries SS2.0 - SS3.0) else users risk double-counting costs.</t>
  </si>
  <si>
    <t>Note that this a stand alone cost.  The data represent a median cost scenario, one of a number of low/high/very high cost scenarios presented in the source (and reproduced in this database), which cover children with a range of needs/circumstances.  The scenario on which the cost is based, as outlined in the source, is for a child placed with foster parents who subsequently changes placement to new foster parents within the same authority, with reviews and an up-dated care plan every six months, and some educational/health expenditure.  Finding a subsequent placement is an ad-hoc event and should not be included in any derived annual cost - however, it should be incorporated if required. These figures should not be used in conjunction with other overlapping unit costs quoted elsewhere in the database (particularly entries SS2.0 - SS3.0) else users risk double-counting costs.</t>
  </si>
  <si>
    <t>The source provides a number of scenarios for children with different needs/circumstances (costs for the other scenarios are also provided in this database).  This is a high cost scenario, for 'difficult to place' children with emotional or behavioural difficulties and offending behaviour.  The scenario on which the cost is based, as outlined in the source, is for a child who experienced ten different placements within the 74-week study period (including out-of-authority, residential placements provided by independent sector agencies), and who ceased being looked after when he refused to return to any placement provided by the local authority. The unit cost is therefore made up of £279,094 to the local authority and £86,910 for other public sector agencies. Note that the source data covers an 74-week period; users may wish to adapted this figure to develop an annual cost, using the constituent costs detailed below (see the individual entries for information on the source data and how an annual cost may be derived from them). These figures should not be used in conjunction with other overlapping unit costs quoted elsewhere in the database (particularly entries SS2.0 - SS3.0) else users risk double-counting costs.</t>
  </si>
  <si>
    <t>Constituent cost to the above, which represents a high cost scenario, one of a number of different cost scenarios presented in the source (and reproduced in this database), which cover children with a range of needs/circumstances.  The scenario on which the cost is based, as outlined in the source, covers 'difficult to place' children with emotional or behavioural difficulties and offending behaviours - the scenario is based upon the costs associated with a child who experienced ten different placements within the 74-week study period (including out-of-authority, residential placements provided by independent sector agencies), and who ceased being looked after when he refused to return to any placement provided by the local authority.  It is made up of £137 per care planning process to the local authority and £164 cost to other agencies. Reviews and an up-dated care plan were undertaken every six months.  
Previous iterations of this database quoted the same figure as an annual estimate. Whilst this has now been altered in order to prevent any instances of double-counting, the original source suggests that over an 74-week period the care plan was updated twice, which can be used to derive an annual figure. These figures should not be used in conjunction with other overlapping unit costs quoted elsewhere in the database (particularly entries SS2.0 - SS3.0) else users risk double-counting costs.</t>
  </si>
  <si>
    <t>Constituent cost to the above, which represents a high cost scenario, one of a number of different cost scenarios presented in the source (and reproduced in this database), which cover children with a range of needs/circumstances.  The scenario on which the cost is based, as outlined in the source, covers 'difficult to place' children with emotional or behavioural difficulties and offending behaviours - the scenario is based upon the costs associated with a child who experienced ten different placements within the 74-week study period (including out-of-authority, residential placements provided by independent sector agencies), and who ceased being looked after when he refused to return to any placement provided by the local authority.  Reviews and an up-dated care plan were undertaken every six months.  
Previous iterations of this database quoted the same figure as an annual estimate. Whilst this has now been altered in order to prevent any instances of double-counting, the cost is quoted based on data for a 74-week period, adding in the increased cost referred to in the source relating to increased social worker activity in the initial stages of a placement, which can be used to derive an annual cost. These figures should not be used in conjunction with other overlapping unit costs quoted elsewhere in the database (particularly entries SS2.0 - SS3.0) else users risk double-counting costs.</t>
  </si>
  <si>
    <t>Constituent cost to the above, which represents a high cost scenario, one of a number of different cost scenarios presented in the source (and reproduced in this database), which cover children with a range of needs/circumstances.  The scenario on which the cost is based, as outlined in the source, covers 'difficult to place' children with emotional or behavioural difficulties and offending behaviours - the scenario is based upon the costs associated with a child who experienced ten different placements within the 74-week study period (including out-of-authority, residential placements provided by independent sector agencies), and who ceased being looked after when he refused to return to any placement provided by the local authority.  
Previous iterations of this database quoted the same figure as an annual estimate. Whilst this has now been altered in order to prevent any instances of double-counting, the review costs have been derived from data for a 74-week period from which an annual figure can be derived. These figures should not be used in conjunction with other overlapping unit costs quoted elsewhere in the database (particularly entries SS2.0 - SS3.0) else users risk double-counting costs.</t>
  </si>
  <si>
    <t>Constituent cost to the above, which represents a high cost scenario, one of a number of different cost scenarios presented in the source (and reproduced in this database), which cover children with a range of needs/circumstances.  The scenario on which the cost is based, as outlined in the source, covers 'difficult to place' children with emotional or behavioural difficulties and offending behaviours - the scenario is based upon the costs associated with a child who experienced ten different placements within the 74-week study period (including out-of-authority, residential placements provided by independent sector agencies), and who ceased being looked after when he refused to return to any placement provided by the local authority.  As subsequent placements were needed nine times during the 74-week period, an one-off cost has been derived by dividing the overall cost by nine - if required, local areas can use the average unit cost of finding all of the placements by adopting a figure of £8,879. These figures should not be used in conjunction with other overlapping unit costs quoted elsewhere in the database (particularly entries SS2.0 - SS3.0) else users risk double-counting costs.</t>
  </si>
  <si>
    <t>Note that this a stand alone cost.  The scenario that has been costed is high cost, one of a number of different cost scenarios presented in the source (and reproduced in this database), which cover children with a range of needs/circumstances.  The scenario on which the cost is based, as outlined in the source, covers 'difficult to place' children with emotional or behavioural difficulties and offending behaviours - it is based upon the costs associated with a child who experienced ten different placements within a 74-week study period (including out-of-authority, residential placements provided by independent sector agencies), and who ceased being looked after when he refused to return to any placement provided by the local authority.  Ceasing being looked after is an ad-hoc event, so should not be included in any derived annual costs - however, it should be incorporated if required. These figures should not be used in conjunction with other overlapping unit costs quoted elsewhere in the database (particularly entries SS2.0 - SS3.0) else users risk double-counting costs.</t>
  </si>
  <si>
    <t>The source provides a number of scenarios for children with different needs/circumstances (costs for the other scenarios are also provided in this database).  This is a very high cost scenario, for 'difficult to place' children with disabilities, emotional or behavioural difficulties and offending behaviour.  The scenario on which the cost is based, as outlined in the source, is for a child who experienced nine different placements within the 87-week study period (the majority of which were out-of-area, and involved independent sector agencies placing the child in independent sector foster care and residential units with educational facilities).  Review meetings were held six monthly and his care plan was also updated every six months.  Costs were also incurred for home tuition and clinical psychologist provision, plus other miscellaneous areas .The unit cost is therefore made up of £527,926 to the local authority and £18,714 for other public sector agencies. Note that the source data covers an 87-week period; users may wish to adapted this figure to develop an annual cost, using the constituent costs detailed below (see the individual entries for information on the source data and how an annual cost may be derived from them).  These figures should not be used in conjunction with other overlapping unit costs quoted elsewhere in the database (particularly entries SS2.0 - SS3.0) else users risk double-counting costs.</t>
  </si>
  <si>
    <t>The source provides a number of scenarios for children with different needs/circumstances (costs for the other scenarios are also provided in this database).  This is a very high cost scenario, for 'difficult to place' children with disabilities, emotional or behavioural difficulties and offending behaviour.  The scenario on which the cost is based, as outlined in the source, is for a child who experienced nine different placements within the 87-week study period (the majority of which were out-of-area, and involved independent sector agencies placing the child in independent sector foster care and residential units with educational facilities).  Review meetings were held six monthly and his care plan was also updated every six months.  
Previous iterations of this database quoted the same figure as an annual estimate. Whilst this has now been altered in order to prevent any instances of double-counting, the original source suggests that over an 87-week period the care plan was updated three times, which can be used to derive an annual figure. These figures should not be used in conjunction with other overlapping unit costs quoted elsewhere in the database (particularly entries SS2.0 - SS3.0) else users risk double-counting costs.</t>
  </si>
  <si>
    <t>The source provides a number of scenarios for children with different needs/circumstances (costs for the other scenarios are also provided in this database).  This is a very high cost scenario, for 'difficult to place' children with disabilities, emotional or behavioural difficulties and offending behaviour.  The scenario on which the cost is based, as outlined in the source, is for a child who experienced nine different placements within the 87-week study period (the majority of which were out-of-area, and involved independent sector agencies placing the child in independent sector foster care and residential units with educational facilities).  Review meetings were held six monthly and his care plan was also updated every six months.  
Previous iterations of this database quoted the same figure as an annual estimate. Whilst this has now been altered in order to prevent any instances of double-counting, the original source states that three reviews were conducted over an 87 week period, which can be used to derive an annual figure. These figures should not be used in conjunction with other overlapping unit costs quoted elsewhere in the database (particularly entries SS2.0 - SS3.0) else users risk double-counting costs.</t>
  </si>
  <si>
    <t>The source provides a number of scenarios for children with different needs/circumstances (costs for the other scenarios are also provided in this database).  This is a very high cost scenario, for 'difficult to place' children with disabilities, emotional or behavioural difficulties and offending behaviour.  The scenario on which the cost is based, as outlined in the source, is for a child who experienced nine different placements within the 87-week study period (the majority of which were out-of-area, and involved independent sector agencies placing the child in independent sector foster care and residential units with educational facilities).  Review meetings were held six monthly and his care plan was also updated every six months.  
Previous iterations of this database quoted the same figure as an annual estimate. Whilst this has now been altered in order to prevent any instances of double-counting, the original source states that subsequent placements were needed eight times during the 87-week period, which has been used to derive the cost per placement. Alternatively, local areas can apply the total cost across all placements at £18,998.  These figures should not be used in conjunction with other overlapping unit costs quoted elsewhere in the database (particularly entries SS2.0 - SS3.0) else users risk double-counting costs.</t>
  </si>
  <si>
    <t>The source provides a number of scenarios for children with different needs/circumstances (costs for the other scenarios are also provided in this database).  This is a very high cost scenario, for 'difficult to place' children with disabilities, emotional or behavioural difficulties and offending behaviour.  The scenario on which the cost is based, as outlined in the source, is for a child who experienced nine different placements within the 87-week study period (the majority of which were out-of-area, and involved independent sector agencies placing the child in independent sector foster care and residential units with educational facilities).  Review meetings were held six monthly and his care plan was also updated every six months.  It is made up of £3.50 per week of local authority expenditure and a cost of £6.20 to other agencies. 
Previous iterations of this database quoted the same figure as an annual estimate. Whilst this has now been altered in order to prevent any instances of double-counting, the original source suggests that legal support will be provided for a total of 87 weeks which can be used to derive an annual figure. These figures should not be used in conjunction with other overlapping unit costs quoted elsewhere in the database (particularly entries SS2.0 - SS3.0) else users risk double-counting costs.</t>
  </si>
  <si>
    <t>Note that this a stand alone cost.  The source provides a number of scenarios for children with different needs/circumstances (costs for the other scenarios are also provided in this database), of which this is a very high cost scenario, for 'difficult to place' children with disabilities, emotional or behavioural difficulties and offending behaviour.  The scenario on which the cost is based, as outlined in the source, is for a child who experienced nine different placements within the 87-week study period (the majority of which were out-of-area, and involved independent sector agencies placing the child in independent sector foster care and residential units with educational facilities).  Review meetings were held six monthly and his care plan was also updated every six months.  Ceasing being looked after is an ad-hoc event and should not be included in any derived annual costs - however, it should be incorporated if required. These figures should not be used in conjunction with other overlapping unit costs quoted elsewhere in the database (particularly entries SS2.0 - SS3.0) else users risk double-counting costs.</t>
  </si>
  <si>
    <t>Children's Social Care - single assessment</t>
  </si>
  <si>
    <t>SS6.1</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</si>
  <si>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of males who hold 3-4 GCSEs are compared to those who achieve 1-2 GCSEs, regardless of whether this is their highest qualification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</si>
  <si>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of males who hold 5-7 GCSEs are compared to those who achieve 3-4 GCSEs, regardless of whether this is their highest qualification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</si>
  <si>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of males who hold 8+ GCSEs are compared to those who achieve 5-7 GCSEs, regardless of whether this is their highest qualification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</si>
  <si>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females achieving 5+ good GCSEs (including English and Maths) are compared to those holding  anything less, regardless of whether this is the highest qualification they hold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</si>
  <si>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females with 1-2 GCSEs as their highest qualification are compared to those with no GCSEs.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</si>
  <si>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females with 5-7 GCSEs as their highest qualification are compared to those with 3-4 GCSEs as their highest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</si>
  <si>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of females who hold 3-4 GCSEs are compared to those who achieve 1-2 GCSEs, regardless of whether this is their highest qualification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</si>
  <si>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of females who hold 5-7 GCSEs are compared to those who achieve 3-4 GCSEs, regardless of whether this is their highest qualification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</si>
  <si>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of females who hold 8+ GCSEs are compared to those who achieve 5-7 GCSEs, regardless of whether this is their highest qualification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</si>
  <si>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E&amp;S3.1</t>
  </si>
  <si>
    <t>E&amp;S3.1.1</t>
  </si>
  <si>
    <t>E&amp;S3.1.2</t>
  </si>
  <si>
    <t>E&amp;S3.1.3</t>
  </si>
  <si>
    <t>E&amp;S3.1.4</t>
  </si>
  <si>
    <t>HE6.3</t>
  </si>
  <si>
    <t>HE6.4</t>
  </si>
  <si>
    <t>Database theme</t>
  </si>
  <si>
    <t>Revisions</t>
  </si>
  <si>
    <t>Number of entries changed</t>
  </si>
  <si>
    <t>Changes by database theme</t>
  </si>
  <si>
    <t>Crime</t>
  </si>
  <si>
    <t>Employment &amp; economy</t>
  </si>
  <si>
    <t>Health</t>
  </si>
  <si>
    <t>Housing</t>
  </si>
  <si>
    <t>Social services</t>
  </si>
  <si>
    <t>General changes</t>
  </si>
  <si>
    <t>Lookups worksheet</t>
  </si>
  <si>
    <t>Local authority own-provision residential care for older people - overall cost per week</t>
  </si>
  <si>
    <t>Unit Costs of Health &amp; Social Care 2020 (Curtis, 2020). p 91</t>
  </si>
  <si>
    <t xml:space="preserve">Rehabilitation for drug or alcohol addiction </t>
  </si>
  <si>
    <t>This is the average cost for a GP out-of-surgery visit lasting an average 23.4 minutes; it includes travel time, and costs relating to direct care staff (practice nurses).  The source quotes the same cost including qualification costs, at £114 per visit (2012-13 prices).  Data are also quoted excluding direct care staff costs: the average cost for a 23.4 minute out-of-surgery activity visit becomes £85 (£104 including qualification costs) (both at 2012-13 prices).  The costs are derived from practice salary costs, including administrative and clerical staff (and including on-costs such as national insurance and pension contributions), premises costs and business overheads, and training, travel and capital costs.  All costs are clearly presented in a summary table on p.191 of the source document, with related data and commentary on p.190 and 192.</t>
  </si>
  <si>
    <t>Multi-Systemic Therapy (MST) - cost per therapy session</t>
  </si>
  <si>
    <t xml:space="preserve">This is the cost per hour per team member of community mental health team (CMHT) provision for older people with mental health problems - these teams can comprise community nurses, social workers/approved social workers, consultants and other types of health/social work professionals, and provide local mental health services that prioritise people with severe, longer-term problems.  The costs are derived from salary costs (including on-costs such as national insurance and pension contributions), plus an element to account for a proportion of overheads (management, admin, travel, telephone, supplies and services, utilities, etc.) and capital costs.  The source also provides London and non-London multipliers (see p.185 for details).  Related data are quoted for the average cost per face-to-face contact with the CMHT team (£133) and the average annual cost per team member (£68,744) (both at 2016-17 prices).  The 2012 edition of the Unit Costs of Health and Social Care gives an average cost per case (£2,211, at 2011-12 prices).
Note - while the fiscal value is an updated cost, all costs in the updated comments are from previous years
</t>
  </si>
  <si>
    <t xml:space="preserve">This is the cost per hour per team member of community mental health team (CMHT) provision for adults with mental health problems - these teams can comprise community nurses, social workers/approved social workers, consultants and other types of health/social work professionals, and provide local mental health services that prioritise people with severe, longer-term problems.  The costs are derived from salary costs (including on-costs such as national insurance and pension contributions), plus an element to account for a proportion of overheads (management, admin, travel, telephone, supplies and services, utilities, etc.) and capital costs.  The source also provides London and non-London multipliers (see p.186 for details).  Related data are quoted for the average cost per face-to-face contact with the CMHT team (£197) and the average annual cost per team member (£60,645) (both at 2016-17 prices).  The 2012 edition of the Unit Costs of Health and Social Care gives an average cost per case (£2,528, at 2011-12 prices).
</t>
  </si>
  <si>
    <t xml:space="preserve">Crisis resolution is an alternative to inpatient hospital care for service users with serious mental illness, offering flexible, home‐based care 24 hours a day, seven days a week.  This is the cost per hour per member of a crisis resolution team, which can include medical staff, nurses, psychologists, social workers, social care and other therapists.  The cost is derived from salary costs (including on-costs such as national insurance and pension contributions), plus an element to account for a proportion of overheads (management, admin, travel, telephone, supplies and services, utilities, etc.) and capital costs.  The source also provides London and non-London multipliers (see p.187 for details).  Related data are quoted for: the average cost per team contact (£192); the average annual cost per team member (£62,591); and the average cost per case (£31,296) (all costs are quoted at 2016-17 prices).
</t>
  </si>
  <si>
    <t xml:space="preserve">This is the cost per hour per team member of assertive outreach team provision for people with mental health problems.  Assertive outreach teams provide intensive support for people with severe mental illness who are ‘difficult to engage’ in more traditional services; team members may include doctors, nurses, psychologists, social workers, social care, other therapists and volunteers.  The costs are derived from salary costs (including on-costs such as national insurance and pension contributions), plus an element to account for a proportion of overheads (management, admin, travel, telephone, supplies and services, utilities, etc.) and capital costs.  The source also provides London and non-London multipliers (see p.188 for details).  Related data are quoted for: the average cost for an assertive outreach team contact (£132); the annual cost per team member (£58,889); and the average cost per case (£8,413) (all costs are quoted at 2016-17 prices).
</t>
  </si>
  <si>
    <t>Unit Costs of Health &amp; Social Care 2020 (Curtis, 2020). p 45</t>
  </si>
  <si>
    <t>Unit Costs of Health &amp; Social Care 2020 (Curtis, 2020). p 89</t>
  </si>
  <si>
    <t>Unit Costs of Health &amp; Social Care 2020 (Curtis, 2020). p 90</t>
  </si>
  <si>
    <t>Unit Costs of Health and Social Care 2012 (Curtis, 2012), p.111</t>
  </si>
  <si>
    <t>The source quotes the median cost, as the range of values derived from local authorities was wide (£389 - £8,260), and the mean (£950) was distorted by the wide range.  The source also provides an annuitised cost (and gives information on how this has been derived) - the median annual equipment cost for a hoist is £319.  The original data are old, but the source comments that they have been substantiated by cross-referencing with more recent costs.</t>
  </si>
  <si>
    <t>The source quotes the median cost, as the range of values derived from local authorities was wide (£365 - £1,481), and the mean (£539) was distorted by the wide range.  The source also provides an annuitised cost (and gives information on how this has been derived) - the median annual equipment cost for a low level bath is £81.  The original data are old, but the source comments that they have been substantiated by cross-referencing with more recent costs.</t>
  </si>
  <si>
    <t>Per working hour</t>
  </si>
  <si>
    <r>
      <t>£/tCO</t>
    </r>
    <r>
      <rPr>
        <vertAlign val="subscript"/>
        <sz val="10"/>
        <rFont val="Arial"/>
        <family val="2"/>
      </rPr>
      <t>2</t>
    </r>
    <r>
      <rPr>
        <sz val="10"/>
        <rFont val="Arial"/>
        <family val="2"/>
      </rPr>
      <t>e</t>
    </r>
  </si>
  <si>
    <t>£/kWh</t>
  </si>
  <si>
    <t>Gas - Retail Price - Industrial</t>
  </si>
  <si>
    <t>£/litre</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</si>
  <si>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£611 and £24,174 respectively.</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</si>
  <si>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£18,936 and £258,239 respectively. The source also quotes figures for the commercial average (£63,797), industry (£95,847), agriculture (£192,401) and for solvents (£194,078).</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</si>
  <si>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£2,893 and £37,611 respectively.</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</si>
  <si>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£1,521 and £24,467 respectively.</t>
  </si>
  <si>
    <t>Double Glazing (A++ energy rating) - annual energy saving for a detached property</t>
  </si>
  <si>
    <t xml:space="preserve">This is the cost of installing a dual fuel smart meter as supplied by industry stakeholders for BEIS' cost-benefit analysis of the smart meter roll-out. As well as the direct cost of attending a premises for installation, the installation costs should be interpreted as incorporating a broad range of installation-related activities including training installers, providing tools, managing installers in the field, appointment setting and other back office support costs. On average, installation of a dual-fuel smart meter represents a £33 saving over the combined cost of installing individual electricity and gas meters (£176). </t>
  </si>
  <si>
    <t xml:space="preserve">This is the cost of installing either a electricity-only or a gas-only smart meter as supplied by industry stakeholders for BEIS' cost-benefit analysis of the smart meter roll-out. As well as the direct cost of attending a premises for installation, the installation costs should be interpreted as incorporating a broad range of installation-related activities including training installers, providing tools, managing installers in the field, appointment setting and other back office support costs. On average, the combined cost of installing individual electricity and gas meters is £33 higher than a single installation for a dual-fuel device (£176 vs. £143) </t>
  </si>
  <si>
    <t>A&amp;E attendance - all scenarios, not leading to admission</t>
  </si>
  <si>
    <t>2023/24</t>
  </si>
  <si>
    <t>2024/25</t>
  </si>
  <si>
    <t>2025/26</t>
  </si>
  <si>
    <t>This worksheet underpins the rest of the database, providing tables listing the categories used for the drop-down lists, and the data used to uprate historical costs to account for inflation.  Note that to obtain uprated costs for the current year, please ensure that the entry in the (yellow shaded) 'Current year' cell (K11) is correct.  If you want to change this, select the required year from the drop-down list.</t>
  </si>
  <si>
    <t>Updated with the cost entry in PSSRU 2020</t>
  </si>
  <si>
    <t>Comment updated</t>
  </si>
  <si>
    <t>Voluntary and private sector residential care home for children - cost per week</t>
  </si>
  <si>
    <t>This cost is derived from data on social services expenditure alongside data on social services activity.  Note that there can be local variance in the way that ASC-Fr returns made by local authorities (adult social services) to NHS Digital are completed, hence the 'amber' flag for this cost line - local authorities can experience difficulty in attributing expenditure to the correct categories (e.g. differentiating between 'own provision' and 'provision by others', or between nursing and residential care placements).  Users are advised to seek feedback from local authority finance personnel to assess the extent to which the unit cost given compares with local experience, and are recommended to derive a specific local cost where possible.
See the comment cell to the entry at SS7.0 for the rationale behind the split between fiscal and economic costs.</t>
  </si>
  <si>
    <t>Average hourly cost of home care received from external providers,  England</t>
  </si>
  <si>
    <t>Average hourly cost of home care received from local authority in-house provision, England</t>
  </si>
  <si>
    <t>Average weekly cost of home care received from local authority in-house provision, England</t>
  </si>
  <si>
    <t>Community social care support package for older people per week</t>
  </si>
  <si>
    <t>Updated from the entry in PSSRU 2010/11, as quoted in the Unit Cost Database v.2.0, to the entry in PSSRU2011/12 - no update available in more recent PSSRU publications (July 2021)</t>
  </si>
  <si>
    <t>(not available in ASC-FR dataset - day care now combined with other cost entries)</t>
  </si>
  <si>
    <t>This cost is derived from data on social services expenditure alongside social services activity.  Note that an 'amber' flag has been allocated: residential care costs can vary widely depending on the level of care required (which is dependent upon the needs of the individual); there can also be local variance in the way that ASC-Fr returns made by local authorities (adult social services) to NHS Digital are completed (local authorities can experience difficulty in attributing expenditure to the correct categories; e.g. differentiating between 'own provision' and 'provision by others', or between nursing and residential care placements).  Users are advised to seek feedback from local authority finance personnel to assess the extent to which the unit cost given compares with local experience, and are recommended to derive a specific local cost where possible.
More affluent individuals will pay for some/all of their residential care costs - this element is an economic cost to the individual, with the fiscal cost representing the care costs paid for by the local authority.  A range of proportions that split out the fiscal and economic elements are quoted in the literature; we have followed the approach used in the Department of Health's Dementia Care Commissioning Toolkit, which suggests allocating two-thirds of residential care costs as a fiscal cost falling to local authorities, and the remaining third as an economic cost falling to individual self-funders.</t>
  </si>
  <si>
    <t>This is the cost per hour for a Social Work Assistant, calculated pro-rata from data on mean salary and working hours, on-costs (national insurance, pensions), overheads (administration, management, office, training, utilities, general management and support services such as finance and HR) and capital costs.  The data are national averages - multipliers are provided, for use in calculating average costs for London and out-of-London.</t>
  </si>
  <si>
    <t>Local Authority Home Care Worker - cost per hour of face-to-face contact</t>
  </si>
  <si>
    <t>SS5.1</t>
  </si>
  <si>
    <t>SS6.0</t>
  </si>
  <si>
    <t>SS8.1</t>
  </si>
  <si>
    <t>SS8.2</t>
  </si>
  <si>
    <t>SS8.3</t>
  </si>
  <si>
    <t>SS10.1</t>
  </si>
  <si>
    <t>SS10.2</t>
  </si>
  <si>
    <t>SS10.3</t>
  </si>
  <si>
    <t>SS20.2</t>
  </si>
  <si>
    <t>SS20.4</t>
  </si>
  <si>
    <t>SS20.6</t>
  </si>
  <si>
    <t>SS4.0.1</t>
  </si>
  <si>
    <t>SS4.0.2</t>
  </si>
  <si>
    <t>SS4.0.3</t>
  </si>
  <si>
    <t>SS4.0.4</t>
  </si>
  <si>
    <t>SS6.1.1</t>
  </si>
  <si>
    <t>SS6.1.2</t>
  </si>
  <si>
    <t>SS6.1.3</t>
  </si>
  <si>
    <t>SS17.3.1</t>
  </si>
  <si>
    <t>SS17.3.2</t>
  </si>
  <si>
    <t>SS17.3.3</t>
  </si>
  <si>
    <t>SS18.0.1</t>
  </si>
  <si>
    <t>SS18.0.2</t>
  </si>
  <si>
    <t>SS18.0.3</t>
  </si>
  <si>
    <t>SS18.0.4</t>
  </si>
  <si>
    <t>Child taken into care (low cost, for children with no additional support needs) - weekly legal costs, for a specific care scenario</t>
  </si>
  <si>
    <t>The source provides a number of scenarios for children with different needs/circumstances (costs for the other scenarios are also provided in this database).  This is a very high cost scenario, for 'difficult to place' children with disabilities, emotional or behavioural difficulties and offending behaviour.  The scenario on which the cost is based, as outlined in the source, is for a child who experienced nine different placements within the 87-week study period (the majority of which were out-of-area, and involved independent sector agencies placing the child in independent sector foster care and residential units with educational facilities).  Review meetings were held six monthly and his care plan was also updated every six months.  
Previous iterations of this database quoted the same figure as an annual estimate. Whilst this has now been altered in order to prevent any instances of double-counting, the original source states that figures are quoted over an 87-week period alongside an additional £1,310 to account for increased social worker activity, which can be used to derive an annual figure. These figures should not be used in conjunction with other overlapping unit costs quoted elsewhere in the database (particularly entries SS2.0 - SS3.0) else users risk double-counting costs.</t>
  </si>
  <si>
    <t xml:space="preserve">Analysis by Oxford University REES Centre (L. Holmes, unpublished). </t>
  </si>
  <si>
    <t xml:space="preserve">This is the cost is average cost of undertaking a single assessment, taken from as yet unpublished work by the REES centre. It supersedes previous entries relating to an initial and a core assessment. Further information will be added once the analysis is published. </t>
  </si>
  <si>
    <t>Various</t>
  </si>
  <si>
    <t>Renumbering as required, and ensuring consistency in RAG rating, etc.</t>
  </si>
  <si>
    <t>Anti-social behaviour 
further action necessary 
(cost of dealing with incident)</t>
  </si>
  <si>
    <t>https://www.greatermanchester-ca.gov.uk/what-we-do/research/research-cost-benefit-analysis/</t>
  </si>
  <si>
    <t>New versions of the database will be produced on an ongoing basis, both to introduce new costs and to update existing entries.</t>
  </si>
  <si>
    <t>We welcome feedback on the content of the database, and suggestions on how it might be moved forward.  To provide such feedback, or to request more information, please contact us at:</t>
  </si>
  <si>
    <t>When looking at the financial case for a project, only the fiscal values should be considered, and an assessment of the cashability of any savings also considered (see the following link for guidance on cashability: https://www.greatermanchester-ca.gov.uk/media/1584/cashability_discussion_paper.pdf).  When looking at the economic or public value case for a project, all three benefits should be considered (although note that in a small number of cases, fiscal values should be excluded from overall public value calculations as they are transfer payments, e.g. tax or social security benefits.  These are indicated by a comment in the fiscal value cell).</t>
  </si>
  <si>
    <t>v.2.2 revisions</t>
  </si>
  <si>
    <t>Updated with 2019/20 costs</t>
  </si>
  <si>
    <t>CR3.0 - CR3.0.8, CR4.1, CR4.2</t>
  </si>
  <si>
    <t>Introduction' and 'Guidance' worksheets</t>
  </si>
  <si>
    <t>All thematic worksheets</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</si>
  <si>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across prison types divided by the (mean) average of the 12-month end prison populations for the year.
This average is drawn from the constituent costs detailed below (CR3.0.1 - CR3.0.8), plus the Young Offenders Institute costs at CR4.2 and CR4.3.</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</si>
  <si>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male dispersal prisons divided by the (mean) average of the 12-month end populations in these prisons for the year.
These prisons hold the most difficult and dangerous prisoners in England and Wales including those assessed as Category A.  They serve to spread the Category A population, ensuring that the most dangerous prisoners are not concentrated in a single establishment, thereby reducing the risks involved in holding them.</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</si>
  <si>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female closed prisons divided by the (mean) average of the 12-month end populations in these prisons for the year.
Closed training prisons provide a range of facilities for Category B and Category C adult male prisoners and closed condition adult females who are serving medium to long-term sentences.  Prisoners tend to be employed in a variety of activities such as prison workshops, gardens and education and in offending behaviour programmes.</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</si>
  <si>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female open prisons divided by the (mean) average of the 12-month end populations in these prisons for the year.
Open prisons house Category D adult male prisoners and Open condition adult females whose risk of absconding is considered to be low, or who are of little risk to the public because of the nature of their offence.  Open prisons also house long-term prisoners who are coming towards the end of their sentence and who have gradually worked their way down the categories. Open prisons are part of the resettlement programme to reintegrate prisoners back into society.  Whilst Open prisons may have some workshop facilities, some of the prisoners will work in the community, returning to the prison in the evening.</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</si>
  <si>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female local prisons divided by the (mean) average of the 12-month end populations in these prisons for the year.
Local prisons serve the courts and receive remand and post conviction prisoners, prior to their allocation to other establishments.</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</si>
  <si>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relates to Young Offender Institutions (YOIs) holding young people (15 to 17 years old).  It is derived from overall resource expenditure on young people in these institutions divided by the (mean) average of the 12-month end populations for the year.</t>
  </si>
  <si>
    <t xml:space="preserve">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male closed Young Offenders Institutes (ages 18-21) divided by the (mean) average of the 12-month end populations in these institutions for the year.
This entry relates to Young Offender Institutions (YOIs) holding young adults (18 to 21 years old).  These institutions may also include young people aged 15 to 17, who are held separately from adults within the establishment (see entry CR4.2 below).
</t>
  </si>
  <si>
    <t>These are the average fiscal, economic and social costs per incident of crime for 'fraud'.  Note that for modelling purposes, a multiplier may need to be applied to convert incidents of recorded crime to actual crime (see the CBA Guidance document - the multiplier for 2015/16 was 53.6).  To derive an annual fiscal, economic or social benefit, modelling may also need to take into account the average number of crime incidents committed per individual per year. 
Please be aware that the unit cost estimates for fraud and cyber crime are based upon experimental statistics and should be considered as partial estimates as they do not include some costs associated with each crime. A red RAG rating has been allocated to reflect this.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</si>
  <si>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'arson'.  Note that for modelling purposes, a multiplier may need to be applied to convert incidents of recorded crime to actual crime (see the CBA Guidance document - the multiplier for 2015/16 was 1.0).  To derive an annual fiscal, economic or social benefit, modelling may also need to take into account the average number of crime incidents committed per individual per year. Please be aware that the "arson" and "other criminal damage" categories are an expansion of the "personal criminal damage" entry featured in previous versions of this publication. 
The economic value falling to individuals (and/or businesses) includes increased insurance costs and loss of property.  The social value is based upon the physical and emotional impact on direct victims of crime.</t>
  </si>
  <si>
    <t>These are the average fiscal, economic and social costs per incident of crime for 'other criminal damage'.  Note that for modelling purposes, a multiplier may need to be applied to convert incidents of recorded crime to actual crime (see the CBA Guidance document - the multiplier for 2015/16 was 2.0).  To derive an annual fiscal, economic or social benefit, modelling may also need to take into account the average number of crime incidents committed per individual per year. Please be aware that the "arson" and "other criminal damage" categories are an expansion of the "personal criminal damage" entry featured in previous versions of this publication. 
The economic value falling to individuals (and/or businesses) includes increased insurance costs and loss of property.  The social value is based upon the physical and emotional impact on direct victims of crime.</t>
  </si>
  <si>
    <t xml:space="preserve"> Salford: Police costs 2006/07 (unpublished)</t>
  </si>
  <si>
    <t>Alcohol Health Worker, hospital - cost per hour, excluding qualifications</t>
  </si>
  <si>
    <t>This is the cost of ten minutes' brief advice on alcohol management delivered by a GP.  The equivalent cost for ten minutes' advice delivered by a practice nurse is £8 (2019/20 prices).</t>
  </si>
  <si>
    <t>This refers to universal screening by GPs of patients for alcohol misuse, followed by a five-minute advice session for those who screen positive.  This is the average cost across all people screened, including both positive and negative results.</t>
  </si>
  <si>
    <t>Drug Services, Children and Adolescents, Community Contacts</t>
  </si>
  <si>
    <t>Nurse / nurse (mental health), hospital-based, Band 5 - cost per working hour (excluding qualification costs)</t>
  </si>
  <si>
    <t>Nurse / nurse (mental health), hospital-based, Band 4 - cost per working hour (excluding qualification costs)</t>
  </si>
  <si>
    <t>Nurse / nurse (mental health), hospital-based, Band 6 - cost per working hour (excluding qualification costs)</t>
  </si>
  <si>
    <t>Nurse / nurse (mental health), hospital-based, Band 7 - cost per working hour (excluding qualification costs)</t>
  </si>
  <si>
    <t>Nurse / nurse (mental health), hospital-based, Band 8a - cost per working hour (excluding qualification costs)</t>
  </si>
  <si>
    <t>Nurse / nurse (mental health), hospital-based, Band 8b - cost per working hour (excluding qualification costs)</t>
  </si>
  <si>
    <t>Nurse / nurse (mental health), hospital-based, Band 8c - cost per working hour (excluding qualification costs)</t>
  </si>
  <si>
    <t>Nurse / nurse (mental health), hospital-based, Band 8d - cost per working hour (excluding qualification costs)</t>
  </si>
  <si>
    <t>Nurse / nurse (mental health), hospital-based, Band 9 - cost per working hour (excluding qualification costs)</t>
  </si>
  <si>
    <t>Physiotherapist / Occupational Therapist, hospital-based, Band 5 - cost per working hour (excluding qualification costs)</t>
  </si>
  <si>
    <t>Radiographers, hospital-based, Band 5 - cost per working hour (excluding qualification costs)</t>
  </si>
  <si>
    <t>Dietitian / Speech Language Therapist, hospital-based, Band 5 - cost per working hour (excluding qualification costs)</t>
  </si>
  <si>
    <t>Community sexual health services - screening interventions for sexually transmitted infections (STIs) - cost of processing samples and administration of results</t>
  </si>
  <si>
    <t>(not updated in more recent Unit Costs of Health and Social Care publications)</t>
  </si>
  <si>
    <t>This is the average annual cost per case of perinatal depression, relating specifically to all costs arising through the mother. This estimate is taken directly from the Maternal Mental Health Alliance report on the cost of perinatal mental health problems. It is derived from a combination of other sources, including NHS reference costs, PSSRU unit costs of health and social care, and academic literature. 
The overall total can be disaggregated into its subsidiary costs. Those pertaining to the public sector through health and social care, here noted as the fiscal costs, amount to £1,688. Those defined in the database as economic costs are those which fall upon wider society. In the original source, those are the costs of QALY losses (£18,158) and productivity losses (£2,514).</t>
  </si>
  <si>
    <t>This is the average annual cost per case of perinatal depression, relating specifically to all costs arising through the child. This estimate is taken directly from the Maternal Mental Health Alliance report on the cost of perinatal mental health problems. It is derived from a combination of other sources, including NHS reference costs, PSSRU unit costs of health and social care, and academic literature. 
The overall total can be disaggregated into its subsidiary costs. Those pertaining to the public sector, here noted as the fiscal costs are; health and social care (£2,831), education (£3,166), and criminal justice (£1,974). Those defined in the database as economic costs are those which fall upon wider society. In the original source, those are the costs of QALY losses (£30,580), productivity losses (£5,451) and other costs (such as out-of-pocket expenditure and costs of unpaid care) (£7,460).</t>
  </si>
  <si>
    <t>This is the average annual cost per case of perinatal anxiety, relating specifically to all costs arising through the mother. This estimate is taken directly from the Maternal Mental Health Alliance report on the cost of perinatal mental health problems. It is derived from a combination of other sources, including NHS reference costs, PSSRU unit costs of health and social care, and academic literature. 
The overall total can be disaggregated into its subsidiary costs. Those pertaining to the public sector through health and social care, here noted as the fiscal costs, amount to £4,320. Those defined in the database as economic costs are those which fall upon wider society. In the original source, those are the costs of QALY losses (£10,975) and productivity losses (£5,499).</t>
  </si>
  <si>
    <t>This is the average annual cost per case of perinatal depression, relating specifically to all costs arising through the child. This estimate is taken directly from the Maternal Mental Health Alliance report on the cost of perinatal mental health problems. It is derived from a combination of other sources, including NHS reference costs, PSSRU unit costs of health and social care, and academic literature. 
The overall total can be disaggregated into its subsidiary costs. Those pertaining to the public sector, here noted as the fiscal costs are; health and social care (£4,475), education (£329), and criminal justice (£558). Those defined in the database as economic costs are those which fall upon wider society. In the original source, those are the costs of QALY losses (£2,539), productivity losses (£1,738) and other costs (such as out-of-pocket expenditure and costs of unpaid care) (£4,378).</t>
  </si>
  <si>
    <t xml:space="preserve">This is the average cost of not having support per incident of an elderly individual (over the age of 75) going home following a planned hospital admission. Please note, this is calculated from the difference between the estimated cost of returning home without support (£2,073) minus the estimate for returning home with support (£1,615), thus identifying the fiscal cost to the NHS of readmittance and further health complications which may arise from not having support. 
Within the source, "support" is defined broadly as assistance in conducting "activities of daily living" such as bathing, dressing, eating, toileting and moving around. The source calculates this figure using the assumption, based on previous literature, that support reduced readmittance rates, and in cases where readmittance is not reduced, reduced the severity of the condition. The total cost is thus aggregated from a combination of NHS reference costs, Hospital Episode Statistics (HES) and information from Royal Voluntary Service research.  The amber RAG rating reflects the age of the research, but also use in some of the primary sources of quite limited samples, which have been extrapolated to a larger population. 
The source also provides a decision tree, with costs at a more granular level, which can be tracked along particular lines including planned/unplanned first admittance, death/successful treatment, the need for support, and if the patient is then readmitted. Please see the source for further details and values.  </t>
  </si>
  <si>
    <t xml:space="preserve">This is the average cost of not having support per incident of an elderly individual (over the age of 75) going home following a unplanned hospital admission. Please note, this is calculated from the difference between the estimated cost of returning home without support (£2,144) minus the estimate for returning home with support (£1,829), thus identifying the fiscal cost to the NHS of readmittance and further health complications which may arise from not having support. 
Within the source, "support" is defined broadly as assistance in conducting "activities of daily living" such as bathing, dressing, eating, toileting and moving around. The source calculates this figure using the assumption, based on previous literature, that support reduced readmittance rates, and in cases where readmittance is not reduced, reduced the severity of the condition. The total cost is thus aggregated from a combination of NHS reference costs, Hospital Episode Statistics (HES) and information from Royal Voluntary Service research.  The amber RAG rating reflects the age of the research, but also use in some of the primary sources of quite limited samples, which have been extrapolated to a larger population.
The source also provides a decision tree, with costs at a more granular level, which can be tracked along particular lines including planned/unplanned first admittance, death/successful treatment, the need for support, and if the patient is then readmitted. Please see the source for further details and values.  </t>
  </si>
  <si>
    <t xml:space="preserve">This is the overall initial cost to a provider of installing wheelchair or disability access, as sourced from the 'Costs and benefits to service providers of making reasonable adjustments under Part III of the Disability Discrimination Act'. The source derived this value from a wide variety of information, including pre-existing literature, government research, and predominantly case-studies of employers across the UK.
The source also provides an estimate of the annual on-going cost of wheelchair or disability access (£14). The complications noted in the source should also be noted here. Because of the nature of many installations (occurring within original construction or during more general renovation periods), a large proportion of case study respondents were unable to offer accurate estimates of the initial cost. In such situations, the authors of the source recorded the reply as a £0 value. This may therefore have obscured and undermined the mean overall unit cost. It is also important to note that many adjustments which can be considered "disability adjustments" may also be utilised for other means (such as parents with buggies or those with limit mobility). </t>
  </si>
  <si>
    <t xml:space="preserve">This is the overall initial cost to a provider of installing a hoist, lift or evac chair for disabled access, as sourced from the 'Costs and benefits to service providers of making reasonable adjustments under Part III of the Disability Discrimination Act'. The source derived this value from a wide variety of information, including pre-existing literature, government research, and predominantly case-studies of employers across the UK.
The source also provides an estimate of the annual on-going cost of a hoist, lift or evac chair (£150). The complications noted in the source should also be noted here. Because of the nature of many installations (occurring within original construction or during more general renovation periods), a large proportion of case study respondents were unable to offer accurate estimates of the initial cost. In such situations, the authors of the source recorded the reply as a £0 value. This may therefore have obscured and undermined the mean overall unit cost. It is also important to note that many adjustments which can be considered "disability adjustments" may also be utilised for other means (such as parents with buggies or those with limit mobility). </t>
  </si>
  <si>
    <t xml:space="preserve">This is the overall initial cost to a provider of installing an accessible toilets for disabled people, as sourced from the 'Costs and benefits to service providers of making reasonable adjustments under Part III of the Disability Discrimination Act'. The source derived this value from a wide variety of information, including pre-existing literature, government research, and predominantly case-studies of employers across the UK.
The source also provides an estimate of the annual on-going cost of an accessible toilet (£61). The complications noted in the source should also be noted here. Because of the nature of many installations (occurring within original construction or during more general renovation periods), a large proportion of case study respondents were unable to offer accurate estimates of the initial cost. In such situations, the authors of the source recorded the reply as a £0 value. This may therefore have obscured and undermined the mean overall unit cost. It is also important to note that many adjustments which can be considered "disability adjustments" may also be utilised for other means (such as parents with buggies or those with limit mobility). </t>
  </si>
  <si>
    <t xml:space="preserve">This is the overall initial cost to a provider of installing dedicated parking facilities for disabled access, as sourced from the 'Costs and benefits to service providers of making reasonable adjustments under Part III of the Disability Discrimination Act'. The source derived this value from a wide variety of information, including pre-existing literature, government research, and predominantly case-studies of employers across the UK.
The source also provides an estimate of the annual on-going cost of a dedicated parking facility (£4). The complications noted in the source should also be noted here. Because of the nature of many installations (occurring within original construction or during more general renovation periods), a large proportion of case study respondents were unable to offer accurate estimates of the initial cost. In such situations, the authors of the source recorded the reply as a £0 value. This may therefore have obscured and undermined the mean overall unit cost. It is also important to note that many adjustments which can be considered "disability adjustments" may also be utilised for other means (such as parents with buggies or those with limit mobility). </t>
  </si>
  <si>
    <t>This is the ongoing cost per annum to a provider of maintaining a website which is accessible to disabled people, as sourced from the 'Costs and benefits to service providers of making reasonable adjustments under Part III of the Disability Discrimination Act'. The source derived this value from a wide variety of information, including pre-existing literature, government research, and predominantly case-studies of employers across the UK.
The source also includes an estimate of the initial cost of installing features which make the website accessible (£614). It is important to note that many respondents were unable to offer accurate estimates of their running costs particularly relating the accessibility features as it was instead included in the overall cost of website maintenance. The source also states that "it is unclear why the reported average ongoing cost of this adjustment should be so much higher than that of the other adjustments. One possibility is that some respondents interpreted the question to include the ongoing costs of maintaining their entire website (which happens to be accessible) rather than the ongoing costs of keeping the website accessible to disabled users" (p.90)</t>
  </si>
  <si>
    <t>This is the average annual cost to the NHS and public sector of an individual who has COPD, provided by the South Somerset Symphony Dataset. The SSSD is a dataset of 114,874 people in 2012 from the South Somerset GP Federation, which is compromised of 17 practices around Yeovil District Hospital NHS Foundation Trust. It links costs across all notable forms of care - acute, primary, community, mental health, and social care. 
It is important to note that according to Public Health Observations South Somerset generally performs better than the English average across various health indicators (http://www.apho.org.uk/resource/item.aspx?RID=50566). The figures quoted here should therefore be taken as conservative estimates.  
The costs for each individual are derived according to the type of care they have received in each setting, and generally reflects the cost to the commissioner of procuring care of a particular type. Individual morbidity profiles are formulated using United Health's RISC tool, which then allows analysis of data for each Episode Treatment Group (ETG), built upon definitions provided by the WHO's International Classification of Diseases (ICD).
Please note that the figure quoted here represents the overall annual cost to the NHS for each individual who has COPD. This figure does not therefore reflect the cost of having COPD as their sole diagnosis. Instead, of the individuals who have been diagnosed as having COPD, only 10% have it as a sole diagnosis, and their average annual unit cost amounts to £1,000.</t>
  </si>
  <si>
    <t>This is the average annual cost to the NHS and public sector of an individual who has CAD, provided by the South Somerset Symphony Dataset. The SSSD is a dataset of 114,874 people in 2012 from the South Somerset GP Federation, which is compromised of 17 practices around Yeovil District Hospital NHS Foundation Trust. It links costs across all notable forms of care - acute, primary, community, mental health, and social care. 
It is important to note that according to Public Health Observations South Somerset generally performs better than the English average across various health indicators (http://www.apho.org.uk/resource/item.aspx?RID=50566). The figures quoted here should therefore be taken as conservative estimates.  
The costs for each individual are derived according to the type of care they have received in each setting, and generally reflects the cost to the commissioner of procuring care of a particular type. Individual morbidity profiles are formulated using United Health's RISC tool, which then allows analysis of data for each Episode Treatment Group (ETG), built upon definitions provided by the WHO's International Classification of Diseases (ICD).
Please note that the figure quoted here represents the overall annual cost to the NHS for each individual who has CAD. This figure does not therefore reflect the cost of having CAD as their sole diagnosis. Instead, of the individuals who have been diagnosed as having CAD, only 15% have it as a sole diagnosis, and their average annual unit cost amounts to £1,300.</t>
  </si>
  <si>
    <t>This is the average annual cost to the NHS and public sector of an individual who have asthma, provided by the South Somerset Symphony Dataset. The SSSD is a dataset of 114,874 people in 2012 from the South Somerset GP Federation, which is compromised of 17 practices around Yeovil District Hospital NHS Foundation Trust. It links costs across all notable forms of care - acute, primary, community, mental health, and social care. 
It is important to note that according to Public Health Observations South Somerset generally performs better than the English average across various health indicators (http://www.apho.org.uk/resource/item.aspx?RID=50566). The figures quoted here should therefore be taken as conservative estimates.  
The costs for each individual are derived according to the type of care they have received in each setting, and generally reflects the cost to the commissioner of procuring care of a particular type. Individual morbidity profiles are formulated using United Health's RISC tool, which then allows analysis of data for each Episode Treatment Group (ETG), built upon definitions provided by the WHO's International Classification of Diseases (ICD).
Please note that the figure quoted here represents the overall annual cost to the NHS for each individual who has asthma. The high cost reflects how asthma is commonly combined with other more costly conditions. This figure does not therefore reflect the cost of having asthma as their sole diagnosis. Instead, of the individuals who have been diagnosed as having asthma, their average annual unit cost amounts to around £400.</t>
  </si>
  <si>
    <t>This is the average annual cost to the NHS and public sector of an individual who has hypertension, provided by the South Somerset Symphony Dataset. The SSSD is a dataset of 114,874 people in 2012 from the South Somerset GP Federation, which is compromised of 17 practices around Yeovil District Hospital NHS Foundation Trust. It links costs across all notable forms of care - acute, primary, community, mental health, and social care. 
It is important to note that according to Public Health Observations South Somerset generally performs better than the English average across various health indicators (http://www.apho.org.uk/resource/item.aspx?RID=50566). The figures quoted here should therefore be taken as conservative estimates.  
The costs for each individual are derived according to the type of care they have received in each setting, and generally reflects the cost to the commissioner of procuring care of a particular type. Individual morbidity profiles are formulated using United Health's RISC tool, which then allows analysis of data for each Episode Treatment Group (ETG), built upon definitions provided by the WHO's International Classification of Diseases (ICD).
Please note that the figure quoted here represents the overall annual cost to the NHS for each individual who has hypertension. This figure does not therefore reflect the cost of having hypertension as their sole diagnosis. Instead, the individuals who have been diagnosed with hypertension as their sole diagnosis have an average annual unit cost of £667.</t>
  </si>
  <si>
    <t xml:space="preserve">This is the average cost to health and social care of a patient suffering from any type stroke. It has been derived using data taken from the Sentinel Stroke National Audit Programme registry (SSNAP), with a coverage of approximately 95% of all patients admitted to hospital with a stroke. 
Please note that the figure quoted here is a five-year value. Please see the original source for further detail on profiling costs over time. The cost may be disaggregated into its constituent parts as £17,963 for healthcare costs and £28,076 for social care provision.  The source also provides the same value for the first year following the stroke at £22,429 per patient (£13,452 NHS, £8,977 social care). 
In addition the source also provides figures for different types of stroke, notably ischemic stroke (one year cost of £20,121; five year cost of £41,432) and intracerebral haemorrhage (ICH) stroke (one year cost of £24,297; five year cost of £52,726).  </t>
  </si>
  <si>
    <t xml:space="preserve">This is the annual unit cost of Type 1 Diabetes. The numbers quoted here are derived from a 2012 report by the Health Economics Consortium at York University. The various constituent costs which contribute to the overall figure are taken from national statistical reports, academic literature and reports by diabetes organisations. The fiscal cost quoted accounts for the costs to the health service of managing diabetes. This is the aggregate cost of screening &amp; testing, treatment &amp; management, and attributable complications. The economic cost represents the indirect cost of diabetes on mortality, sickness absence, presenteeism (and its impact on productivity) and informal care. Please see the original source for a detailed breakdown of the contributory costs. 
Please note, these figures are calculated using a combination of national-level expenditure data with prevalence and population estimates, hence the amber RAG rating provided here. </t>
  </si>
  <si>
    <t xml:space="preserve">This is the annual unit cost of Type 2 Diabetes. The numbers quoted here are derived from a 2012 report by the Health Economics Consortium at York University. The various constituent costs which contribute to the overall figure are taken from national statistical reports, academic literature and reports by diabetes organisations. The fiscal cost quoted accounts for the costs to the health service of managing diabetes. This is the aggregate cost of screening &amp; testing, treatment &amp; management, and attributable complications. The economic cost represents the indirect cost of diabetes on mortality, sickness absence, presenteeism (and its impact on productivity) and informal care. Please see the original source for a detailed breakdown of the contributory costs. 
Please note, these figures are calculated using a combination of national-level expenditure data with prevalence and population estimates, hence the amber RAG rating provided here. </t>
  </si>
  <si>
    <t>This is the average cost per treatment of a dental filling. It is taken from the report "Improving Child Oral Health: Cost Analysis of a National Toothbrushing Programme". The study examined data for 5-year old children across a ten year period (1999/00 - 2009/10) in Scotland. 
Please note, as the children are under 18, their dental care is free. Therefore, the cost here does not account for any individual financial charges which may occur for adult patients, which could mitigate costs. 
The overall cost of a filling is accumulated from several subsidiary costs, which are as follows; filling (£7.03), occasional treatment (£0.10), preformed metal cap (£0.95), vital pulpotomy (£0.09) and non-vital pulpotomy (£0.67).</t>
  </si>
  <si>
    <t>This is the average cost per case to the NHS across all pregnancy outcomes for a mother arising from smoking during pregnancy. The cases identified by the source are those which may arise within the period covering pregnancy and the first year post-birth. 
It is the overall unit cost across several identifiable conditions (defined at ICD-10 level and matched to NHS Healthcare Resource Groups - HRGs). These conditions, and their respective unit costs, are ectopic pregnancy (£876), pre-eclampsia (£588), spontaneous abortion (£492), placenta previa (588), abruption placenta (£588) and PPROM (£588). Note that because the NHS reference costs provide information at top-level HRG, several of the ICD-10 conditions have been paired within the relevant group.  The total number of cases attributable to smoking is 13,791 with a total cost of £8,182,346.</t>
  </si>
  <si>
    <t>This is the average cost per pre-term birth, attributable to smoking in pregnancy, to the NHS across all birthing periods. The overall number of cases attributable to smoking in pregnancy is 2,722 with a total cost of £10,692,791.
The source also provides individual unit costs for each potential time period of birth. They are as follows; 20-23 weeks (£1,760), 24-27 weeks (£10,280), 28-31 weeks (£9,663) and 32-36 weeks (£2,677).</t>
  </si>
  <si>
    <t>HE10.1</t>
  </si>
  <si>
    <t>HE10.2</t>
  </si>
  <si>
    <t>HE17.1</t>
  </si>
  <si>
    <t>HE17.3</t>
  </si>
  <si>
    <t>HE17.4</t>
  </si>
  <si>
    <t>HE17.5</t>
  </si>
  <si>
    <t>HE17.6</t>
  </si>
  <si>
    <t>HE24.1</t>
  </si>
  <si>
    <t>HE24.2</t>
  </si>
  <si>
    <t>HE25.1</t>
  </si>
  <si>
    <t>Update to the Cost of Foster Care (The Fostering Network, 2010), p.17</t>
  </si>
  <si>
    <t>Renumbering and restructuring as required, and ensuring consistency in RAG rating, etc.</t>
  </si>
  <si>
    <t>Updated cost from a new and more recent source</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</si>
  <si>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males achieving 5+ good GCSE's (including English and maths) as their highest qualification are compared to those of individuals who achieved anything less.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</si>
  <si>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males achieving 5+ good GCSEs (including English and maths) are compared to those holding  anything less, regardless of whether this is the highest qualification. they hold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</si>
  <si>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males with 8+ GCSEs as their highest qualification are compared to those with 5-7 GCSEs as their highest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</si>
  <si>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benefits of females achieving 5+ good GCSE's (including English and maths) as their highest qualification are compared to those of individuals who achieved anything less.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</si>
  <si>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females with 8+ GCSEs as their highest qualification are compared to those with 5-7 GCSEs as their highest qualification.
The figure is 'marginal' as it only takes into account the earnings of people who hold this qualification as their highest qualification.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</si>
  <si>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males achieving 2+ A Levels  are compared to those holding  5-7 good GCSEs, regardless of whether this is the highest qualification they hold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</si>
  <si>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increases in lifetime productivity that an individual would expect to generate over a lifetime. This is driven by greater gross earnings and greater employment returns. This is then uplifted by a factor of 1.3 to take into account non wage labour costs. It is discounted according to the Green Book. The productivity returns of females achieving 2+ A Levels  are compared to those holding  5-7 good GCSEs, regardless of whether this is the highest qualification they hold or not.
The figure is average because it takes into account all individuals who hold the qualification, whether they hold it as their highest qualification or not. Average figures include controls for later qualifications.
Please be aware that the figures here are lifetime values and should be annualised for modelling of short-term productivity gains. For guidance on the distribution of returns over the average lifetime, please refer to pages 34, 57 &amp; 58 of the source documentation. </t>
  </si>
  <si>
    <t xml:space="preserve">The economic value represents the increase in lifetime productivity that an individual would expect to generate over a lifetime.  The economic value is the mean gross graduate premium (i.e. additional annual earnings gain per employee as a result of achieving the qualification, net of tax, National Insurance and loan repayments).  This is driven by greater gross earnings and greater employment returns.  The fiscal value represents the increases in lifetime Exchequer receipts (i.e. enhanced income tax and National Insurance receipts). Note that when considering the overall public value relating to achieving the qualification, only the economic figure should be used.  The fiscal saving should be excluded, as this is effectively a transfer payment (taxation benefits simply move monies from the individual to the Exchequer).  For individual uplifts based on type of institution / degree subject, please see the original source report.
Please note, the values quoted here are lifetime estimates valued over the entire anticipated duration of the graduate's working life. For estimating short term productivity changes incorporating the distribution over the lifetime please consult the graphs in the original source documentation. </t>
  </si>
  <si>
    <t xml:space="preserve">This is the average gross weekly cost of running a children's centre, taken from the case studies of 12 individual centres in England. Note the range between the lowest overall centre cost (£4,627) and the highest (£19,503) as this can obscure the mean, particularly within such a limited sample size. 
The overarching total cost can be disaggregated further into its subsidiary costs, each again taken as the average from 12 centres. These subsets are as follows: staff costs (£7,849), venue costs (£1,343), other costs (such as food, stationary and other materials) (£1,033) and service contract costs (where centres paid a single price for a particular service) (£207).  
The cost of children centres per user hour, is also recorded here as an individual database entry. The source also notes the average cost of each type of service provided (including childcare, stay and play groups, and toy libraries) as a combination of directly allocated costs and a proportional share of total running costs, as well as the financial split of each cost by various organisations. Please see the source for more information (p. 28-44). </t>
  </si>
  <si>
    <t xml:space="preserve">This is the average cost of providing library provision per visit for library purposes. It is taken from a study commissioned by the Alliance of Libraries, Museums and Archives (ALMA UK), and is derived from the total expenditure and number of visitors for libraries in Scotland, Wales and Northern Ireland. This figure ranges from £3.50 in Wales to £4.38 in Northern Ireland. 
For 2011-12, total library expenditure across the three countries was £207,787,657 - with an overall visit tally of 50,465,742.
</t>
  </si>
  <si>
    <t xml:space="preserve">This is the average annual cost of providing library provision per user. It is taken from a study commissioned by the Alliance of Libraries, Museums and Archives (ALMA UK), and is derived from the total expenditure and the estimated number of users for libraries in Scotland, Wales and Northern Ireland. This figure ranges from £45.58 in Wales to £93.77 in Scotland. Please note that the number of users is not a precise figure; it is derived from the overall national population, multiplied by estimates of the percentage of library users taken from previous pieces of research.  
For 2011-12, total library expenditure across the three countries was £207,787,657 - with an overall estimated user tally of 2,899,372.
</t>
  </si>
  <si>
    <t>This is the average annual cost of providing library provision per active borrower.  It is taken from a study commissioned by the Alliance of Libraries, Museums and Archives (ALMA UK), and is derived from the total expenditure and the number of active users for libraries in Scotland, Wales and Northern Ireland. This figure ranges from £73.08 in Wales to £122.27 in Scotland. 
For 2011-12, total library expenditure across the three countries was £207,787,657 - with an overall active borrower tally of 2,020,983.</t>
  </si>
  <si>
    <t>Education and skills</t>
  </si>
  <si>
    <t>E&amp;S14.0 - E&amp;S 15.0</t>
  </si>
  <si>
    <t>Support costs for accommodation based homelessness services - median cost across all intensity levels</t>
  </si>
  <si>
    <t xml:space="preserve">This is the average annual support cost, across various levels of intensity, for accommodation based services. This is taken from data collected across three pieces of research - two evaluations of Housing First services (one a longitudinal study in Camden, and the other an evaluation of nine services across England), and a large scale study which tracked the progress towards employment, training and education of a cohort of homeless people who use the Crisis Skylight programme. Each of these pieces of research independently collated data on the costs of existing service as a benchmark for comparison to new Housing First models. In total, the three studies cover a total of 165 individuals. 
Please note, the figure quoted here is for the support cost alone. Support costs are most commonly defined as the staff costs needed to support clients, as well as any additional resource this necessitates. This is most often met by the Local Authority themselves. It is important to acknowledge that this is an average figure across all types of accommodation based service, and can differ significantly depending on location, the type of support, and the nature of support provided. 
</t>
  </si>
  <si>
    <t>Support costs for accommodation based homelessness services - mean, lower intensity</t>
  </si>
  <si>
    <t xml:space="preserve">This is the average annual support cost, for lower intensity, for accommodation based services. This is taken from data collected across three pieces of research - two evaluations of Housing First services (one a longitudinal study in Camden, and the other an evaluation of nine services across England), and a large scale study which tracked the progress towards employment, training and education of a cohort of homeless people who use the Crisis Skylight programme. Each of these pieces of research independently collated data on the costs of existing service as a benchmark for comparison to new Housing First models. In total, the three studies cover a total of 165 individuals. 
Please note, the figure quoted here is for the support cost alone. Support costs are most commonly defined as the staff costs needed to support clients, as well as any additional resource this necessitates. This is most often met by the Local Authority themselves. It is important to acknowledge that this is an average figure across all types of accommodation based service, and can differ significantly depending on location, the type of support, and the nature of support provided. 
The definition of "lower intensity" provided here is consistent with commonly accepted, standardised definitions from previous "Supporting People" work. It is therefore normally targeted towards teen parents, young people, care leavers and single homelessness individuals, and will consist of a limited number of visits to their accommodation. 
Further information on the definition of "lower intensity" service support can be found - </t>
  </si>
  <si>
    <t>Support costs for accommodation based homelessness services - mean, medium intensity</t>
  </si>
  <si>
    <t xml:space="preserve">This is the average annual support cost, for medium intensity, for accommodation based services. This is taken from data collected across three pieces of research - two evaluations of Housing First services (one a longitudinal study in Camden, and the other an evaluation of nine services across England), and a large scale study which tracked the progress towards employment, training and education of a cohort of homeless people who use the Crisis Skylight programme. Each of these pieces of research independently collated data on the costs of existing service as a benchmark for comparison to new Housing First models. In total, the three studies cover a total of 165 individuals. 
Please note, the figure quoted here is for the support cost alone. Support costs are most commonly defined as the staff costs needed to support clients, as well as any additional resource this necessitates. This is most often met by the Local Authority themselves. It is important to acknowledge that this is an average figure across all types of accommodation based service, and can differ significantly depending on location, the type of support, and the nature of support provided. 
The definition of "medium intensity" provided here is consistent with commonly accepted, standardised definitions from previous "Supporting People" work. It is therefore frequently characterised by daily support staff for accommodated clients, who are only active during specified hours. This is often accompanied with an overnight emergency contact service also.
Further information on the definition of "medium intensity" service support can be found - </t>
  </si>
  <si>
    <t>Support costs for accommodation based homelessness services - mean, special/high intensity</t>
  </si>
  <si>
    <t xml:space="preserve">This is the average annual support cost, for special/high intensity, for accommodation based services. This is taken from data collected across three pieces of research - two evaluations of Housing First services (one a longitudinal study in Camden, and the other an evaluation of nine services across England), and a large scale study which tracked the progress towards employment, training and education of a cohort of homeless people who use the Crisis Skylight programme. Each of these pieces of research independently collated data on the costs of existing service as a benchmark for comparison to new Housing First models. In total, the three studies cover a total of 165 individuals. 
Please note, the figure quoted here is for the support cost alone. Support costs are most commonly defined as the staff costs needed to support clients, as well as any additional resource this necessitates. This is most often met by the Local Authority themselves. It is important to acknowledge that this is an average figure across all types of accommodation based service, and can differ significantly depending on location, the type of support, and the nature of support provided. 
The definition of "special/high intensity" provided here is consistent with commonly accepted, standardised definitions from previous "Supporting People" work. It is normally 24 hour support, over an average period of six months, which therefore leads to high staff costs. Examples of such services are drug and alcohol post-detox services, women's refuges, high-level offenders and clients with dementia, learning disabilities or mental health complications. 
Further information on the definition of "special/high intensity" service support can be found - </t>
  </si>
  <si>
    <t xml:space="preserve">This is the average annual support cost for floating support. This is taken from data collected across three pieces of research - two evaluations of Housing First services (one a longitudinal study in Camden, and the other an evaluation of nine services across England), and a large scale study which tracked the progress towards employment, training and education of a cohort of homeless people who use the Crisis Skylight programme. Each of these pieces of research independently collated data on the costs of existing service as a benchmark for comparison to new Housing First models. In total, the three studies cover a total of 165 individuals. 
Low intensity floating support can include housing and benefits advice, practical assistance with housing issues (which might range from decoration or furnishing through to help with disputes with a landlord), money management and debt advice and case management/service brokering, e.g. ensuring registration with a GP, that benefit entitlements are being claimed and that access to any required services has been arranged. These services are sometimes referred to as resettlement or tenancy sustainment services. 
</t>
  </si>
  <si>
    <t>Updated to 2021/22 cost</t>
  </si>
  <si>
    <t>Updated with 2018/19 data</t>
  </si>
  <si>
    <t>Updated to 2018/19 costs</t>
  </si>
  <si>
    <t>Updated to 2021/22 costs</t>
  </si>
  <si>
    <t>Updated to 2019/20 costs</t>
  </si>
  <si>
    <t>Water treatment - average carbon emissions per million litres (of water returned to the sewage system through the main drains)</t>
  </si>
  <si>
    <t>This is the value of  lost load (VoLL) for domestic, small and medium sized businesses (SMEs) and industrial and commercial (I&amp;C) electricity consumers in Great Britain (GB). VoLL represents the value that electricity users attribute to security of electricity supply. This figure is derived from a selection of choice experiments (CE's) conducted by London Economics on behalf of Ofgem &amp; DECC that bring together a combination of willingness-to-pay (WTP), willingness-to-accept (WTA) and contingent valuation (CV) approaches. They are based on consumer responses for a hypothetical one hour electricity outage. Given the provenance of the value, it has been accounted for as social value, although there will inevitably be an economic effect created by a break in supply security, which has not been quantified here. For further details on how the figures have been monetised, please refer to the original source. 
This figure reflects the WTA-based load-share weighted average across domestic and SME users for winter, peak, weekday. The source also provides WTA estimates for non-winter periods and differing times of day, which are as follows ("peak time" is defined as the period between 3pm - 9pm) - 
Domestic, not winter, not peak, weekend - £9,550
Domestic, not winter, not peak, weekday - £6,957
Domestic, not winter, peak, weekday - £9,257
Domestic, not winter, not peak, weekend - £11,145
Domestic, winter, not peak, weekend - £10,982
Domestic, winter, not peak, weekday - £9,100
Domestic, winter, peak, weekday - £10,289
Domestic, winter, peak, weekend -  £11,820
SME, summer, not peak, non-work day - £37,944
SME, summer, not peak, work day - £36,887
SME, summer, peak, work day - £33,358
SME, summer, peak, non-work day - £34,195
SME, winter, not peak, non-work day - £44,149
SME, winter, not peak, work day - £39,213
SME, winter, peak, work day - £35,488
SME, winter, peak, non-work day - £39,863</t>
  </si>
  <si>
    <t>Dampness - average annual cost to healthcare services and to the local economy</t>
  </si>
  <si>
    <t>Energy Efficient Windows - Energy Savings Trust</t>
  </si>
  <si>
    <t>Insulating tanks, pipes and radiators, Energy Savings Trust (2017) - accessed 12th November 2018</t>
  </si>
  <si>
    <t>EV27.0</t>
  </si>
  <si>
    <t>EV5.3</t>
  </si>
  <si>
    <t/>
  </si>
  <si>
    <t>WELLBEING</t>
  </si>
  <si>
    <t>New addition</t>
  </si>
  <si>
    <t>E&amp;S4.1</t>
  </si>
  <si>
    <t>E&amp;S4.2</t>
  </si>
  <si>
    <t>E&amp;S9.1</t>
  </si>
  <si>
    <t>E&amp;S9.2</t>
  </si>
  <si>
    <t>E&amp;S9.3</t>
  </si>
  <si>
    <t>E&amp;S9.4</t>
  </si>
  <si>
    <t>E&amp;S9.5</t>
  </si>
  <si>
    <t>E&amp;S9.6</t>
  </si>
  <si>
    <t>E&amp;S14.1</t>
  </si>
  <si>
    <t>E&amp;S14.2</t>
  </si>
  <si>
    <t>E&amp;S14.3</t>
  </si>
  <si>
    <t>E&amp;S18.2</t>
  </si>
  <si>
    <t>E&amp;S18.3</t>
  </si>
  <si>
    <t>E&amp;S18.4</t>
  </si>
  <si>
    <t>E&amp;S18.5</t>
  </si>
  <si>
    <t>E&amp;S18.6</t>
  </si>
  <si>
    <t>E&amp;S18.7</t>
  </si>
  <si>
    <t>E&amp;S18.8</t>
  </si>
  <si>
    <t>E&amp;S23.0</t>
  </si>
  <si>
    <t>E&amp;S23.1</t>
  </si>
  <si>
    <t>E&amp;S23.2</t>
  </si>
  <si>
    <t>E&amp;S23.3</t>
  </si>
  <si>
    <t>E&amp;S23.4</t>
  </si>
  <si>
    <t>As above</t>
  </si>
  <si>
    <t>Order (and numbering) changed - moved up the worksheet so this entry sits alongside similar cost areas</t>
  </si>
  <si>
    <t>HO7.1</t>
  </si>
  <si>
    <t>HO7.2</t>
  </si>
  <si>
    <t>HO7.3</t>
  </si>
  <si>
    <t>HO7.4</t>
  </si>
  <si>
    <t>HO9.1</t>
  </si>
  <si>
    <t>HO9.2</t>
  </si>
  <si>
    <t>HO9.3</t>
  </si>
  <si>
    <t>HO9.4</t>
  </si>
  <si>
    <t>HO9.5</t>
  </si>
  <si>
    <t>HO9.6</t>
  </si>
  <si>
    <t>HO9.7</t>
  </si>
  <si>
    <t>HO14.1</t>
  </si>
  <si>
    <t>HO14.2</t>
  </si>
  <si>
    <t>HO14.3</t>
  </si>
  <si>
    <t>HO14.4</t>
  </si>
  <si>
    <t>HO14.5</t>
  </si>
  <si>
    <t>HO14.6</t>
  </si>
  <si>
    <t>Marginal lifetime benefit of a one-grade improvement in GCSE results (males)</t>
  </si>
  <si>
    <t>Marginal lifetime benefit of a one-grade improvement in GCSE results (females)</t>
  </si>
  <si>
    <t>This figure represents the average increased lifetime earnings across all subjects and all increments in grade for a one-grade increase in the subject taken.  Earnings increases will vary dependent on the subject taken (e.g. Maths vs Music) and the increment in grade (e.g. D to C vs B to A).  More granular figures for these changes can be found in the report.  This additional lifetime earnings figure is discounted over the lifetime of the individual using standard Green Book discount factors, so further discounting is not required.  For reference, the undiscounted additional lifetime earnings are £23,000.  At present, no further analysis has been undertaken to estimate the exchequer savings through additional income tax, etc.</t>
  </si>
  <si>
    <t>Marginal lifetime benefit of a one-grade improvement in GCSE results (average)</t>
  </si>
  <si>
    <t>This figure represents the average increased lifetime earnings for males across all subjects and all increments in grade for a one-grade increase in the subject taken.  Earnings increases will vary dependent on the subject taken (e.g. Maths vs Music) and the increment in grade (e.g. D to C vs B to A).  More granular figures for these changes can be found in the report.  This additional lifetime earnings figure is discounted over the lifetime of the individual using standard Green Book discount factors, so further discounting is not required.  For reference, the undiscounted additional lifetime earnings are £23,000.  At present, no further analysis has been undertaken to estimate the exchequer savings through additional income tax, etc.</t>
  </si>
  <si>
    <t>This figure represents the average increased lifetime earnings for females across all subjects and all increments in grade for a one-grade increase in the subject taken.  Earnings increases will vary dependent on the subject taken (e.g. Maths vs Music) and the increment in grade (e.g. D to C vs B to A).  More granular figures for these changes can be found in the report.  This additional lifetime earnings figure is discounted over the lifetime of the individual using standard Green Book discount factors, so further discounting is not required.  For reference, the undiscounted additional lifetime earnings are £23,000.  At present, no further analysis has been undertaken to estimate the exchequer savings through additional income tax, etc.</t>
  </si>
  <si>
    <t>Increased life satisfaction by a one-point change</t>
  </si>
  <si>
    <t>This is the recommended standard value of one wellbeing adjusted life year – a one-point change in life satisfaction for one year - also known as a ‘WELLBY’ - in 2019 prices.  This is the midpoint of the range of values between: 'low' - £10,000/person/year; and 'high' - £16,000/person/year.  The low and high figures should be used as part of sensitivity analysis.  Sensitivity testing should also be applied to the change in units of life satisfaction and the length of the wellbeing impact.  Life satisfaction is measured as part of the ONS4 suite of questions in many surveys; it is an answer on a 0-10 scale against the question, "Overall, how satisfied are you with your life nowadays?", where 0 is "not at all" and 10 is "completely".</t>
  </si>
  <si>
    <t>Knee replacement - average cost</t>
  </si>
  <si>
    <t>Hip replacement - average cost</t>
  </si>
  <si>
    <t>Termination of pregnancy - average cost of a surgical / medical abortion or miscarriage care, less than 14 weeks gestation</t>
  </si>
  <si>
    <t>Termination of pregnancy - average cost of a surgical / medical abortion or miscarriage care, more than 14 weeks gestation</t>
  </si>
  <si>
    <t>Per procedure</t>
  </si>
  <si>
    <t>This is the average cost per occupied bed day for a mental health care clusters.  It is taken from the NHS Reference Costs 2018-19, using the weighted average of data included on the 'MHCC' worksheet (columns G and I).
The Department of Health mandated the use of mental health care clusters as the currencies for adult mental health services.  Care clusters cover most services for working-age adults and older people, therefore replacing previous reference cost currencies for those services.  Care clusters focus on the characteristics and needs of the service user, rather than the individual interventions they receive or their diagnosis.</t>
  </si>
  <si>
    <t>£/tCO2e</t>
  </si>
  <si>
    <t>Cyber crime - average cost per incident (fiscal, economic and social values)</t>
  </si>
  <si>
    <t xml:space="preserve">Instructions on how to navigate the database are given in the 'Guidance' worksheet.  The latest version of the database, alongside related material including the Greater Manchester cost-benefit analysis (CBA) model and guidance, is available at: </t>
  </si>
  <si>
    <r>
      <rPr>
        <b/>
        <sz val="14"/>
        <color indexed="8"/>
        <rFont val="Arial"/>
        <family val="2"/>
      </rPr>
      <t>2. Subsidiary costs</t>
    </r>
    <r>
      <rPr>
        <sz val="14"/>
        <color indexed="8"/>
        <rFont val="Arial"/>
        <family val="2"/>
      </rPr>
      <t xml:space="preserve"> (initial columns shaded in blue / purple) - these are cost lines that are related to the headline costs, covering a similar thematic area, but they may be of secondary importance to the average user.  Some are underpinned by constituent costs.  The subsidiary costs are opened up using the secondary level grouping (click the '2' box).</t>
    </r>
  </si>
  <si>
    <t>GCSE attainment and lifetime earnings (Department for Education, 2021)</t>
  </si>
  <si>
    <t>Wellbeing Guidance for Appraisal: Supplementary Green Book Guidance (HM Treasury / Social Impacts Task Force, 2021)</t>
  </si>
  <si>
    <t>Intermediate care, reablement - average direct cost per service user</t>
  </si>
  <si>
    <t xml:space="preserve">This is the mean cost per service user for intermediate reablement services.  The data were sourced from a survey of intermediate care commissioners.  The source document also indicates an average length of stay of 30.8 days. Reablement services are defined by the audit as "community based services provided to service users in their own home/care home. These services help people recover skills and confidence to live at home and maximise their independence". 
Note that in many local areas, costs will fall to both local authorities (adult care services) and the NHS - the National Audit 2012 indicates an average split of 73% of costs falling to the Clinical Commissioning Group, and 27% to the local authority. </t>
  </si>
  <si>
    <t>Value of Load Lost - the willingness to pay load-share-weighted average valuation of a one hour electricity outage across domestic and SME consumers (winter weekday peak time)</t>
  </si>
  <si>
    <t>The Value of Lost Load (VoLL) for Electricity in Great Britain, London Economics (2013), p.xvi</t>
  </si>
  <si>
    <t>This is the average energy cost saving of solid wall insulation across all property types. It is derived from findings of the National Energy Efficiency Data Framework (NEED) 2018, which found that the median energy saving of SWI was 2300kWh (mean of 2600kWh). This value has been monetised using the LRVC of domestic gas (entry EV3.0 above).</t>
  </si>
  <si>
    <t>This is the average energy cost saving of cavity wall insulation across all property types. It is derived from findings of the National Energy Efficiency Data Framework (NEED) 2018, which found that the median energy saving of CWI was 1,100kWh (mean of 1,200kWh). This value has been monetised using the LRVC of domestic gas (entry EV3.0 above).</t>
  </si>
  <si>
    <t>This is the average energy cost saving of loft insulation across all property types. It is derived from findings of the National Energy Efficiency Data Framework (NEED) 2018, which found that the median energy saving of LI was 500kWh (mean of 500kWh). This value has been monetised using the LRVC of domestic gas (entry EV3.0 above).</t>
  </si>
  <si>
    <t>This is the average energy cost saving of a condensing boiler across all property types. It is derived from findings of the National Energy Efficiency Data Framework (NEED) 2018, which found that the median energy saving was 700kWh (mean of 700kWh). This value has been monetised using the LRVC of domestic gas (entry EV3.0 above).</t>
  </si>
  <si>
    <t xml:space="preserve">This is the average energy cost saving of solar photovoltaic panels across all property types. It is derived from findings of the National Energy Efficiency Data Framework (NEED) 2018, which found that the median energy saving of SPV was 400kWh. This value has been monetised using the LRVC of electricity (entry EV2.0 above). </t>
  </si>
  <si>
    <t>Smart meter roll-out: cost-benefit analysis (BEIS, 2019)</t>
  </si>
  <si>
    <t>Greenhouse gas reporting: conversion factors 2021, BEIS - condensed set, "Material use"</t>
  </si>
  <si>
    <t>Greenhouse gas reporting: conversion factors 2021, BEIS - condensed set, "Waste Disposal"</t>
  </si>
  <si>
    <t>Energy Consumption in the UK, 2019 Data Tables, Table C9 (BEIS, 2021)</t>
  </si>
  <si>
    <t>Greenhouse gas reporting: conversion factors 2021, BEIS - condensed set, "Water Supply"</t>
  </si>
  <si>
    <t>Greenhouse gas reporting: conversion factors 2021, BEIS - condensed set, "Water Treatment"</t>
  </si>
  <si>
    <t>Updated previous entry</t>
  </si>
  <si>
    <t>Price of Carbon</t>
  </si>
  <si>
    <t>BEIS guidance on valuing greenhouse gas emissions</t>
  </si>
  <si>
    <t>Natural Gas - Carbon Emissions Cost</t>
  </si>
  <si>
    <t>National Energy Efficiency Data Framework (BEIS, 2021), Impact of measures data tables</t>
  </si>
  <si>
    <t>This is the average value of the carbon emissions (economic) and air quality damage costs (social) avoided due to solid wall insulation. It is derived from findings of the National Energy Efficiency Data Framework (NEED) 2018, which found that the median energy saving of SWI was 2300kWh (mean of 2600kWh). Carbon emissions have been monetised using the  value of natural gas emissions (entry EV3.3 above). Air quality emissions have been valued using the damage costs of gas (entry EV3.5 above).</t>
  </si>
  <si>
    <t>This is the average value of the carbon emissions (economic) and air quality damage costs (social) avoided due to solid wall insulation. It is derived from findings of the National Energy Efficiency Data Framework (NEED) 2018, which found that the median energy saving of CWI was 1,100kWh (mean of 1,200kWh). Carbon emissions have been monetised using the  value of natural gas emissions (entry EV3.3 above). Air quality emissions have been valued using the damage costs of gas (entry EV3.5 above).</t>
  </si>
  <si>
    <t>This is the average value of the carbon emissions (economic) and air quality damage costs (social) avoided due to loft insulation. It is derived from findings of the National Energy Efficiency Data Framework (NEED) 2018, which found that the median energy saving of LI was 500kWh (mean of 500kWh). Carbon emissions have been monetised using the  value of natural gas emissions (entry EV3.3 above). Air quality emissions have been valued using the damage costs of gas (entry EV3.5 above).</t>
  </si>
  <si>
    <t>This is the average value of the carbon emissions (economic) and air quality damage costs (social) avoided due to a property receiving a condensing boiler. It is derived from findings of the National Energy Efficiency Data Framework (NEED) 2018, which found that the median energy saving of LI was 700kWh (mean of 700kWh). Carbon emissions have been monetised using the  value of natural gas emissions (entry EV3.3 above). Air quality emissions have been valued using the damage costs of gas (entry EV3.5 above).</t>
  </si>
  <si>
    <t xml:space="preserve">This is the average annual value of electricity consumed by a UK household. The economic value is a combination of the LRVC of electricity used and the valuation of the respective carbon emissions, both of which have been monetised in keeping with GHG appraisal guidance using the unit costs quoted under entries EV2.0 - EV2.5. The social value is an estimate of the expected air quality costs, valued in keeping with DEFRA's damage cost approach using the unit costs quoted under entry EV2.6.
These figures are based upon an estimated annual electricity usage of 3,731 kWh (temperature corrected, the uncorrected estimate is 3,772 kWh). </t>
  </si>
  <si>
    <t xml:space="preserve">This is the average annual value of gas consumed by a UK household. The economic value is a combination of the LRVC of gas used and the valuation of the respective carbon emissions, both of which have been monetised in keeping with GHG appraisal guidance using the unit costs quoted under entries EV3.0 - EV3.5. The social value is an estimate of the expected air quality costs, valued in keeping with DEFRA's damage cost approach using the unit costs quoted under entry EV3.6.
These figures are based upon an estimated annual gas usage of 11,526 kWh (temperature corrected, the uncorrected estimate is 12,176 kWh). </t>
  </si>
  <si>
    <t xml:space="preserve">This is the average value of the carbon emissions (economic) and air quality damage costs (social) avoided due to solar photovoltaics. It is derived from findings of the National Energy Efficiency Data Framework (NEED) 2018, which found that the median energy saving of SPV was 600kWh. Carbon emissions have been monetised using the value of electricity emissions (entry EV2.3 above). Air quality emissions have been valued using the damage costs of electricity (entry EV2.6 above). </t>
  </si>
  <si>
    <t>For the purposes of project appraisal, the UK Government values changes in CO2 emissions based on an estimation of the abatement costs required to meet emissions reduction targets. This is known as a "target-consistent approach". As the responsibility for this abatement is distributed throughout the entire population it is impractical without the use of complex abatement models  to determine which agencies or sectors will bear these costs. For this reason, changes in CO2 emissions are best represented in this model as economic value.
The value of carbon emissions p/KWh of electricity have therefore been calculated by multiplying the electricity emissions factors (taken from Table 1) by the value of carbon quoted above. 
As both emissions factors and carbon values are assumed to change overtime, any appraisal which considers energy usage across multiple years should use the corresponding values for future years in the guidance</t>
  </si>
  <si>
    <t>For the purposes of project appraisal, the UK Government values changes in CO2 emissions based on an estimation of the abatement costs required to meet emissions reduction targets. This is known as a "target-consistent approach". As the responsibility for this abatement is distributed throughout the entire population it is impractical without the use of complex abatement models  to determine which agencies or sectors will bear these costs. For this reason, changes in CO2 emissions are best represented in this model as economic value.
The value of carbon emissions p/litre of petrol have therefore been calculated by multiplying the petrol emissions factors (taken from Table 2b) by the value of carbon quoted above. 
As both emissions factors and carbon values are assumed to change overtime, any appraisal which considers energy usage across multiple years should use the corresponding values for future years in the guidance</t>
  </si>
  <si>
    <t>For the purposes of project appraisal, the UK Government values changes in CO2 emissions based on an estimation of the abatement costs required to meet emissions reduction targets. This is known as a "target-consistent approach". As the responsibility for this abatement is distributed throughout the entire population it is impractical without the use of complex abatement models  to determine which agencies or sectors will bear these costs. For this reason, changes in CO2 emissions are best represented in this model as economic value.
 The value of carbon emissions p/litre of petrol have therefore been calculated by multiplying the DERV emissions factors (taken from Table 2b) by the value of carbon quoted above. 
As both emissions factors and carbon values are assumed to change overtime, any appraisal which considers energy usage across multiple years should use the corresponding values for future years in the guidance</t>
  </si>
  <si>
    <t xml:space="preserve">The 2021 BEIS guidance removed the distinction between traded and non-traded prices of carbon for use in appraisal.  A single value should be used in all analysis.  They represent a monetary value that society places on one tonne of carbon dioxide equivalent (£/tCO2e).  This is the central series estimate for 2021 - the low series estimate is £122/tCO2e and the high series estimate is £367/tCO2e.  Values for future years up to 2050 can be found in the guidance.
</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</si>
  <si>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£1,077 and £48,078 respectively. In addition the source also quotes the industry average for NOx emissions (£5,671) and for commercial (£13,307).</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</si>
  <si>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£817 and £34,742 respectively. In addition, the source also provides the average damage cost for different modes of transport; aircraft (£11,672); off-road (£8,656); rail (£9,009); and ships (£2,506). For further details, including variations by the location of the emissions, please refer to the original source.</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</si>
  <si>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£15,888 and £227,323 respectively.</t>
  </si>
  <si>
    <t>Damage costs estimate the cost to society of a change in emissions of pollutants. The values referenced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This value reflects the central estimate; the low and high sensitivities are £17,567 and £252,695 respectively. In addition, the source also provides the average damage cost for different modes of transport; aircraft (£194,269); off-road (£153,487); rail (£163,413); and ships (£33,739). For further details, including variations by the location of the emissions, please refer to the original source.</t>
  </si>
  <si>
    <t xml:space="preserve">This is the average capital cost of establishing a heat network normalised to annual energy demand. It is taken from a data gathering exercise, conducted by AECOM Ltd on behalf of DECC in 2014, using a combination of in-depth questionnaires, feasibility studies and an online survey of heat network stakeholders. 
The value quoted here reflects the average cost across all scheme types but in addition, the source provides the unit cost per bulk scheme (average £150, maximum £239, minimum £80) and non bulk scheme (average £150, maximum £168, minimum £132). The source also states the disaggregated components, which are as follows - mechanical capital cost (£70), civil capital cost (£74),  preliminary capital cost (£8) and overhead &amp; profit (£10). The total of the disaggregated costs differ from the individual average as the component values are provided by heat network schemes at the disaggregated level where available and are therefore not always equivalent.
Please note, the authors state that because the values are based on a small sample of schemes and, even though efforts have been made to check the data and ensure its robustness, the statistical validity cannot determined, hence the amber RAG rating (also due to the age of the source data). 
For additional information on the costs of the components of a heat network, please see the additional entries below. </t>
  </si>
  <si>
    <t xml:space="preserve">This is the average maintenance cost of a heat network, normalised to annual energy demand. It is taken from a data gathering exercise, conducted by AECOM Ltd on behalf of DECC in 2014, using a combination of in-depth questionnaires, feasibility studies and an online survey of heat network stakeholders. 
The source also quotes additional recurrent operational costs, which are as follows - heat interface unit (HIU) maintenance cost (£820 £/MW); heat meter maintenance cost (£3.40/MWh) and average annual staff cost for metering, billing, and revenue collection (£11.10/MWh).
Please note, the authors state that  the operation cost associated with the heat network itself, rather than the associated heat supply plant and energy centre buildings, is low. Operation cost data directly associated with the heat network was hard to obtain from operators and where information was available, it was often a simple estimate or nominal amount, hence the amber RAG rating (also due to the age of the source data). </t>
  </si>
  <si>
    <t xml:space="preserve">This is the average capital cost of establishing a thermal store, normalised to annual energy demand. It is taken from a data gathering exercise, conducted by AECOM Ltd on behalf of DECC in 2014, using a combination of in-depth questionnaires, feasibility studies and an online survey of heat network stakeholders.  Thermal storage is not a central component of heat networks, but can contribute to improving network performance and heat supply performance in some circumstances.
The value quoted here reflects the average cost across all scheme types but in addition, the source provides the unit cost per bulk scheme (average £17) and non bulk scheme (average £12). The source also quotes the capital cost of thermal storage per m3 at £962 (£1,080 for bulk schemes, £843 for non-bulk schemes). 
Please note, the authors state that because the values are based on a small sample of schemes and, even though efforts have been made to check the data and ensure its robustness, the statistical validity cannot determined, hence the amber RAG rating (also due to the age of the source data).  </t>
  </si>
  <si>
    <t xml:space="preserve">This is the average capital cost of heat connections under a bulk scheme, normalised to annual energy demand. It is taken from a data gathering exercise, conducted by AECOM Ltd on behalf of DECC in 2014, using a combination of in-depth questionnaires, feasibility studies and an online survey of heat network stakeholders. 
The value quoted here reflects the average cost across bulk scheme types but in addition the source also provides the unit cost per non-bulk schemes (average £624, maximum £1,179, minimum £129) and a range of values for bulk schemes (maximum £36, minimum £8).  The source also provides non-normalised values for various components of heat connections, which are as follows - network capital cost per £/m of main network-buried length (£984 average, £1,242 bulk, £468 non-bulk); network capital cost per £/m of internal pipe (£169 average and non-bulk); substation cost per KW capacity (£32 average, £28 bulk, £35 non-bulk); domestic HIU's cost per dwelling (£1,075 average); heat meter cost per building for ND &amp; bulk (£2,878 average, £1,949 bulk, £3,343 non-bulk); and the heat meter cost per dwelling (£579 average).
Please note, the authors state that because the values are based on a small sample of schemes and, even though efforts have been made to check the data and ensure its robustness, the statistical validity cannot determined, hence the amber RAG rating (also due to the age of the source data). </t>
  </si>
  <si>
    <r>
      <t>For the purposes of project appraisal, the UK Government values changes in CO</t>
    </r>
    <r>
      <rPr>
        <vertAlign val="subscript"/>
        <sz val="10"/>
        <color rgb="FF000000"/>
        <rFont val="Arial"/>
        <family val="2"/>
      </rPr>
      <t>2</t>
    </r>
    <r>
      <rPr>
        <sz val="10"/>
        <color indexed="8"/>
        <rFont val="Arial"/>
        <family val="2"/>
      </rPr>
      <t xml:space="preserve"> emissions based on an estimation of the abatement costs required to meet emissions reduction targets. This is known as a "target-consistent approach". As the responsibility for this abatement is distributed throughout the entire population it is impractical without the use of complex abatement models to determine which agencies or sectors will bear these costs. For this reason, changes in CO2 emissions are best represented in this model as economic value.
The value of carbon emissions p/KWh have therefore been calculated by multiplying the natural gas emissions factor (taken from Table 2a) by the  value of carbon quoted above. 
As carbon values are assumed to change overtime, any appraisal which considers energy usage across multiple years should use the corresponding values for future years in the guidance</t>
    </r>
  </si>
  <si>
    <t xml:space="preserve">This is the average annual fuel saving from installing A++ rated double glazing in a detached house compared to whole-house single glazing. Please note, the amber RAG rating has been applied to reflect the methodology adopted by the Energy Savings Trust, which values changes in energy usage using the retail price (reflecting the fiscal benefit to the consumer), as opposed to the recommended LRVC suggested in the GHG Appraisal Guidance.
</t>
  </si>
  <si>
    <t xml:space="preserve">This is the median annual fuel and carbon emission savings of an air source heat pump when compared to the average energy consumption of a UK dwelling (comparison data derived from the NEED database). These figures are taken from a 2017 report by the UCL Energy Institute which analysed the observed heat pump data of the renewable heat premium payment (RHPP) scheme. 
This value is for a semi-detached property. The source also provides values for a detached (2.7 t/CO2e, £1,164 fuel avoided) and a terrace property (1.8 t/CO2e, £749 fuel avoided). In addition, the source also states figures based on alternative types of fuel (coal, oil, LPG, gas). Please refer to the source publication for further details. 
The aggregate economic value compromises of two figures; the expected reduction in fuel usage (specifically electricity), and the anticipated reduction in carbon emissions. Whilst the source data quotes the tonnage of CO2 avoided - which facilitates monetisation using the value of carbon - fuel savings are stated only in terms of their monetary value with no indication of the amount of energy saved. Because of this, we cannot be certain that the methodology is consistent with the recommended approach in the GHG appraisal guidance and, as a result, the figures have been given an amber RAG rating (also due to the age of the data).  </t>
  </si>
  <si>
    <t xml:space="preserve">This is the median annual fuel and carbon emission savings of a ground source heat pump when compared to the average energy consumption of a UK dwelling (comparison data derived from the NEED database). These figures are taken from a 2017 report by the UCL Energy Institute which analysed the observed heat pump data of the renewable heat premium payment (RHPP) scheme. 
This value is for a semi-detached property. The source also provides values for a detached (2.9 t/CO2e, £1,245 fuel avoided) and a terrace property (1.9 t/CO2e, £801 fuel avoided). In addition, the source also states figures based on alternative types of fuel (coal, oil, LPG, gas). Please refer to the source publication for further details. 
The aggregate economic value compromises of two figures; the expected reduction in fuel usage (specifically electricity), and the anticipated reduction in carbon emissions. Whilst the source data quotes the tonnage of CO2 avoided - which facilitates monetisation using the value of carbon - fuel savings are stated only in terms of their monetary value with no indication of the amount of energy saved. Because of this, we cannot be certain that the methodology is consistent with the recommended approach in the GHG appraisal guidance and, as a result, the figures have been given an amber RAG rating (also due to the age of the data).  </t>
  </si>
  <si>
    <t>This is the estimated fuel and CO2 savings of additional top up insulation on a hot water tank (25 to 80mm). The value quoted here has been produced by combining the expected annual fuel bill savings (£20) with the monetised valuation of avoided carbon emissions (100kgCO2/year), which has been translated into a monetary value using the value of carbon. The source also quotes an estimated installation cost (assuming DIY approach) of £15. Please note, the amber RAG rating has been applied to reflect the methodology adopted by the Energy Savings Trust, which values changes in energy usage using the retail price (reflecting the fiscal benefit to the consumer), as opposed to the recommended LRVC suggested in the GHG Appraisal Guidance (it also reflects the age of the data).
In addition, the source also outlines the potential savings of other insulation, which are as follows; hot water tank jacket on an uninsulated tank (£85 fuel bill saving, 430kgCO2/year, £15 DIY installation cost); and primary pipe insulation (£10 fuel bill saving, 40kgCO2/year, £20 DIY installation cost).</t>
  </si>
  <si>
    <t>(source hyperlink updated)</t>
  </si>
  <si>
    <t xml:space="preserve">This is the total cost of installing an electric vehicle charging point, combining both the installation and equipment costs (available as component costs in entries EV29.0.1 and EV29.0.2). The total cost is composed of three individual components; charging controllers (£120), demand &amp; power factor controllers (£150), V2G controllers (£600). The author notes that there will be significant differences in costs depending on the specific application, often down to the individual installation (which may produce economies of scale). Therefore, these figures should be interpreted as average unit costs. </t>
  </si>
  <si>
    <t xml:space="preserve">This is the equipment cost of an electric vehicle charging point. The total cost is composed of three individual components; charging controllers (£70), demand &amp; power factor controllers (£100), V2G controllers (£500). The author notes that there will be significant differences in costs depending on the specific application, often down to the individual installation (which may produce economies of scale). Therefore, these figures should be interpreted as average unit costs. </t>
  </si>
  <si>
    <t xml:space="preserve">This is the installation cost of an electric vehicle charging point. The total cost is composed of three individual components; charging controllers (£50), demand &amp; power factor controllers (£50), V2G controllers (£100). The author notes that there will be significant differences in costs depending on the specific application, often down to the individual installation (which may produce economies of scale). Therefore, these figures should be interpreted as average unit costs. </t>
  </si>
  <si>
    <t>Damage Costs Appraisal Toolkit (DEFRA, 2021)</t>
  </si>
  <si>
    <t>In the majority of hospitals, alcohol health workers (AHW) are qualified nurses; however, they can also be staff with alternative qualifications (NVQ in health and social care, counselling skills) or experience in substance misuse.  They work predominantly in non-emergency admission units followed by A&amp;E, specialist gastroenterology/liver wards, and general medical wards.  This cost represents the labour cost per hour for an AHW, excluding qualification costs; if qualification costs are included, the cost per hour is £57 (2020/21 prices).  The costs are derived from salary costs (including on-costs such as national insurance and pension contributions), plus an element to account for a proportion of overheads (management, admin, travel, telephone, supplies and services, utilities) and capital costs.</t>
  </si>
  <si>
    <t>Updated with 2020/21 costs</t>
  </si>
  <si>
    <t>This is a weighted average for all paediatric outpatient attendances, derived from the NHS Trust and Primary Care Trusts combined dataset, and uprated to 2020-21 prices in the source document (Unit Costs of Health and Social Care 2021).</t>
  </si>
  <si>
    <t>Unit Costs of Health &amp; Social Care 2021 (Jones, 2021) p.47</t>
  </si>
  <si>
    <t>Unit Costs of Health &amp; Social Care 2021 (Jones, 2021). p 67</t>
  </si>
  <si>
    <t>Unit Costs of Health &amp; Social Care 2021 (Jones, 2021), p.138</t>
  </si>
  <si>
    <t>This cost represents the labour cost per working hour for a hospital-based nurse / nurse (mental health) at Band 5.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</si>
  <si>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4.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</si>
  <si>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6.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</si>
  <si>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7.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</si>
  <si>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8a.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</si>
  <si>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8b.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</si>
  <si>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8c.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</si>
  <si>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8d.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</si>
  <si>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nurse / nurse (mental health) at Band 9.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</si>
  <si>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Unit Costs of Health &amp; Social Care 2021 (Jones, 2021), p.135</t>
  </si>
  <si>
    <t>Unit Costs of Health &amp; Social Care 2021 (Jones, 2021). p.141</t>
  </si>
  <si>
    <t>Unit Costs of Health &amp; Social Care 2021 (Curtis, 2021). p.141</t>
  </si>
  <si>
    <t>Unit Costs of Health &amp; Social Care 2021 (Jones, 2021). p 35</t>
  </si>
  <si>
    <t>Unit Costs of Health &amp; Social Care 2021 (Jones, 2021). p 37</t>
  </si>
  <si>
    <t>Unit Costs of Health &amp; Social Care 2021 (Jones, 2021). p 36</t>
  </si>
  <si>
    <t>Unit Costs of Health &amp; Social Care 2021 (Jones, 2021). p 111</t>
  </si>
  <si>
    <t>Unit Costs of Health &amp; Social Care 2021 (Jones, 2021). p 109</t>
  </si>
  <si>
    <t>Unit Costs of Health &amp; Social Care 2021 (Curtis, 2021). p 87</t>
  </si>
  <si>
    <t>Unit Costs of Health &amp; Social Care 2021 (Jones, 2021). p 87</t>
  </si>
  <si>
    <t>Unit Costs of Health &amp; Social Care 2021 (Jones, 2021). p 88</t>
  </si>
  <si>
    <t>This is the average cost of sample processing and notify patients of results for community based sexual health screening interventions.  It is based upon a study conducted by Jackson et al (2014) that compared the costs and outcomes of two sexually transmitted infection screening interventions for amateur football players in London.  Please note that this is the cost of processing samples alone (including storage, sample processing, patient administration and notification of results), and does not incorporate the cost of recruitment, promotion and transportation - see the original source for further details.  Examples of additional costs taken from the study include the cost of testing kits (£6 per player), the transportation of specimen collection boxes (£155 per club) and the cost of the boxes themselves (£64 per club).  The amber RAG rating is reflective of the specific scenario within which the unit costs were derived, suggesting that there may be significant variation for sexual health screening interventions of a different design. 
All costs quoted are at 2020-21 prices (unless stated otherwise).</t>
  </si>
  <si>
    <t>Unit Costs of Health &amp; Social Care 2021 (Jones, 2021), p73</t>
  </si>
  <si>
    <t>Updated with the cost entry in PSSRU 2021</t>
  </si>
  <si>
    <t>Unit Costs of Health &amp; Social Care 2021 (Jones, 2021), p.71</t>
  </si>
  <si>
    <t>Unit Costs of Health &amp; Social Care 2021 (Jones, 2021), p.72</t>
  </si>
  <si>
    <t>Unit Costs of Health &amp; Social Care 2021 (Jones, 2021), p.124</t>
  </si>
  <si>
    <t>Unit Costs of Health &amp; Social Care 2021 (Curtis, 2021), p.125</t>
  </si>
  <si>
    <t>Unit Costs of Health &amp; Social Care 2021 (Jones, 2021), p.142</t>
  </si>
  <si>
    <t>Unit Costs of Health &amp; Social Care 2021 (Jones, 2021), p.113</t>
  </si>
  <si>
    <t>National Schedule of Reference Costs 2019-20 for NHS trusts and NHS foundation trusts ('MH' worksheet, currency codes MHSTAEA-MHSTPSC)</t>
  </si>
  <si>
    <t>This is the average cost per contact of community-based provision for mental health patients - it incorporates costs for a range of specialist teams delivering mental health provision for elderly people, adults, children and adolescents (separate values on specific sub-categories are available from the source, including unit costs for teams working in prisons, wider criminal justice and A&amp;E liaison). It is taken from the NHS Reference Costs 2019-20, using the weighted average of data included on the 'MH' worksheet.</t>
  </si>
  <si>
    <t>Per hectare (Various land covers)</t>
  </si>
  <si>
    <t xml:space="preserve">Vegetation, particularly woodland, can reduce air pollution. So where land use is instead 
being changed, initial low and high values, based on national spatial modelling, are provided to assess changes in the welfare and health benefits of this ecosystem service. The range 
of values refers to different land covers, ranging from enclosed farmland (low) to urban woodland 
(high). Valuation of this service is less robust at very local scales. </t>
  </si>
  <si>
    <t>Per 1 decimal change</t>
  </si>
  <si>
    <t>Marginal change in road noise levels ('low' value)</t>
  </si>
  <si>
    <t>Marginal change in road noise levels ('high' value)</t>
  </si>
  <si>
    <t>These are marginal annual values for changes in total road, rail and aircraft noise exposure, and low (£13), 
central, and high (£227) values are based on sensitivities at the extreme end of possible ranges. These 
values can be added for changes of more than one decibel and should be multiplied by the 
number of years and households to which they apply.</t>
  </si>
  <si>
    <t>Average road noise damage costs avoided for households benefiting from noise mitigation by urban woodland</t>
  </si>
  <si>
    <t>Per household</t>
  </si>
  <si>
    <t xml:space="preserve">This is the average road noise damage costs avoided for households benefiting from noise mitigation by urban woodland. </t>
  </si>
  <si>
    <t>Enabling a Natural Capital Approach Services Databook 'Noise reduction' tab (2021)</t>
  </si>
  <si>
    <t>Enabling a Natural Capital Approach Services Databook 'Air Pollutant Removal' tab (2021)</t>
  </si>
  <si>
    <t>The Green Book Central Government Guidance on Appraisal and Evaluation (2022), pg.83</t>
  </si>
  <si>
    <t>Welfare value of outdoor recreation sites (low value)</t>
  </si>
  <si>
    <t>Welfare value of outdoor recreation sites (high value)</t>
  </si>
  <si>
    <t>Indicative health savings/ benefits from every physically active visit to green space (low value)</t>
  </si>
  <si>
    <t>Valuation of these benefits can be estimated by two methods with values shown in Table 3; a lower estimate based on the equivalent avoided health service costs and a higher estimate based on QALY welfare values for individuals. There is no central estimate as such. Consideration of displacement and the counterfactual are key issues.</t>
  </si>
  <si>
    <t>Indicative health savings/ benefits from every physically active visit to green space (high value)</t>
  </si>
  <si>
    <t>Valuation of these benefits can be estimated by two methods with values shown in Table 3; a lower estimate (£3.36) based on the equivalent avoided health service costs and a higher estimate (£14.34) based on QALY welfare values for individuals. There is no central estimate as such. Consideration of displacement and the counterfactual are key issues.</t>
  </si>
  <si>
    <t>Average additional value per property within 100m - 500m of accessible green or blue space</t>
  </si>
  <si>
    <t>Per property (Capital value)</t>
  </si>
  <si>
    <t>The range (low £1,538 - high £9,471) reflects variation in the size and proximity of green or blue space, and there is significant regional variation. The central 
value represents the national average. For a small proportion of properties, an additional visual 
amenity premium can apply, based on views over green or blue space. Finally, indicative values 
for dis-amenity are provided for litter accumulation in residential and commercial areas on a per 
household basis. None of these values are exhaustive and they are context specific, so the ENCA 
Services Databook section on Amenity should be consulted for further detail where these values 
are relevant to appraisal.</t>
  </si>
  <si>
    <t>This central value represents the national average. For a small proportion of properties, an additional visual 
amenity premium can apply, based on views over green or blue space. Finally, indicative values 
for dis-amenity are provided for litter accumulation in residential and commercial areas on a per 
household basis. None of these values are exhaustive and they are context specific, so the ENCA 
Services Databook section on Amenity should be consulted for further detail where these values 
are relevant to appraisal.</t>
  </si>
  <si>
    <t>Average price premium for a property with a view over green or blue space</t>
  </si>
  <si>
    <t>Welfare cost from significant litter accumulation in 
residential areas (low value)</t>
  </si>
  <si>
    <t>Welfare cost from significant litter accumulation in 
residential areas (high value)</t>
  </si>
  <si>
    <t>Industry average present value lifetime social cost of providing water supply</t>
  </si>
  <si>
    <t>Per household (flooding at different water depths</t>
  </si>
  <si>
    <t>Typical damage per property from a flood event (low value)</t>
  </si>
  <si>
    <t>Typical damage per property from a flood event (high value)</t>
  </si>
  <si>
    <t>Flooding and coastal erosion can lead to social costs (e.g. harm to people and damage to property, infrastructure and the environment). Typical damage per property, per flood event varies from around £8,000 to £11,000 for a flood of less than 0.1 metres in depth, to between £40,000 and £45,000 for a flood in excess of 1.2 metres in depth (20/21 prices).</t>
  </si>
  <si>
    <t>Per KM</t>
  </si>
  <si>
    <t>Per hectare (Woodland)</t>
  </si>
  <si>
    <t>Avoided water storage costs from woodland water storage in flood catchments (low value)</t>
  </si>
  <si>
    <t>Avoided water storage costs from woodland water storage in flood catchments (high value)</t>
  </si>
  <si>
    <t>In urban contexts, vegetation can reduce surface water flooding from heavy rainfall, with benefits to sewerage capacity. Coastal flood risk, which will be increasing with future climate change, is reduced by coastal margin habitats such as saltmarsh. Valuation can be based on replacement costs of avoided water storage or man-made flood defences. These values (low - £97, high - £242) are indicative replacement cost estimates based on national hydrological modelling, the low value is a national average for woodland, the higher value for floodplain woodland.
In reality, the flood risk value of natural assets will depend upon 
the numbers of properties protected, and this fine-tuning is not possible with the replacement 
cost methodology. For further guidance and valuation evidence, see the ENCA Services Databook 
section Flood Regulation</t>
  </si>
  <si>
    <t>Per hectare (peatland)</t>
  </si>
  <si>
    <t>Per hectare (woodland)</t>
  </si>
  <si>
    <t>Carbon reduction value of restoring eroded peatland (low value)</t>
  </si>
  <si>
    <t>This cost is the carbon saving estimates for restoration of eroded peatland, the ranges depending upon the change in condition. Both low (£497) and high (£5297) values use the central carbon values from BEIS. For further guidance and evidence, see the ENCA Services Databook section on Carbon Reduction.</t>
  </si>
  <si>
    <t>Per hectare of average erosion</t>
  </si>
  <si>
    <t>Average indicative cost of soil erosion (production, water quality, flood risk) (low value)</t>
  </si>
  <si>
    <t>Average indicative cost of soil erosion (production, water quality, flood risk) (high value)</t>
  </si>
  <si>
    <t>An indicative average per hectare cost of soil erosion is derived by dividing aggregate estimates of some of these externalities by the total estimate area under soil erosion. These are based on losses in water quality, agricultural yields and increased flood risk (excluding changes in GHG emissions). The low (£130) and high (£211) estimates reflect the range of uncertainty underlying the calculations. For further guidance and evidence, see the ENCA Services Databook section on Soil Health.</t>
  </si>
  <si>
    <t>Mega litre per day</t>
  </si>
  <si>
    <t xml:space="preserve">Per tonne CO2 </t>
  </si>
  <si>
    <t>Enabling a Natural Capital Approach Services Databook 'Physical Health' and 'Recreation' tab (2021)</t>
  </si>
  <si>
    <t>Enabling a Natural Capital Approach Services Databook 'Amenity' tab (2021)</t>
  </si>
  <si>
    <t>The quality of water in the environment has an effect on biodiversity, amenity and 
recreation and was the subject of a major study in 2007, updated in 2013, called the National 
Water Environment Benefits Survey Estimates of the average benefits of improvements in the 
quality of water in rivers, lakes, canals &amp; coastal waters are (in 20/21 prices):
- £22,000/km/year – value of improving water quality from bad to poor
- £25,400/km/year – value of improving water quality from poor to moderate
- £29,500/km/year – value of improving water quality from moderate to good</t>
  </si>
  <si>
    <t>Enabling a Natural Capital Approach Services Databook 'Flood regulation' tab (2021)</t>
  </si>
  <si>
    <t>Enabling a Natural Capital Approach Services Databook 'Carbon Reduction' tab (2021)</t>
  </si>
  <si>
    <t>Enabling a Natural Capital Approach Services Databook 'Soil Health' tab (2021)</t>
  </si>
  <si>
    <t>This is the welfare cost from significant litter accumulation in residential areas (low value).</t>
  </si>
  <si>
    <t>This is the welfare cost from significant litter accumulation in residential areas (high value).</t>
  </si>
  <si>
    <t>This is the industry average present value lifetime social cost of providing water supply</t>
  </si>
  <si>
    <t>The initial version of the unit cost database was developed in 2012 as part of work under the Investment Agreement and Partnerships Exemplar project to produce a framework to assist local partners in reforming the way they deliver public services.  The project was funded by the (then) Department for Communities and Local Government's (DCLG) Troubled Families Unit, and delivered by Greater Manchester and Birmingham City Council.  The Research Team at the Greater Manchester Combined Authority (GMCA, formerly New Economy) continues to develop and update the database, with support from a number of government departments.</t>
  </si>
  <si>
    <t>Job-Seekers Allowance (GOV.UK, June 2022)</t>
  </si>
  <si>
    <t>Updated with 2022 cost</t>
  </si>
  <si>
    <t>Jobseekers Allowance (JSA) supports people who are out of work and seeking employment. This is 'new style' JSA; contribution-based or income-based JSA has been discontinued for new claimants.  The quoted cost is the maximum weekly payment for claimants aged 25 and over, but the entitlement can vary depending on age.</t>
  </si>
  <si>
    <t>This comprises the average cost to a local authority of administering a decision on a homelessness application.</t>
  </si>
  <si>
    <t>Housing Benefit caseload statistics (Stat-Xplore tool): data to February 2022 (DWP, 2022)</t>
  </si>
  <si>
    <t>Updated with 2021/22 values from DWP Stat-Xplore (new source)</t>
  </si>
  <si>
    <t>Housing Benefit - average weekly award, across all tenure types, England</t>
  </si>
  <si>
    <t>Housing Benefit - average weekly award, social rented sector, England</t>
  </si>
  <si>
    <t>Housing Benefit - average weekly award, social rented sector, local authority tenants, England</t>
  </si>
  <si>
    <t>Housing Benefit - average weekly award, social rented sector, Registered Social Landlord (Registered Provider) tenants, England</t>
  </si>
  <si>
    <t>Housing Benefit - average weekly award, private rented sector, England</t>
  </si>
  <si>
    <t>Housing Benefit - average weekly award, private rented sector, Private Regulated Tenants, England</t>
  </si>
  <si>
    <t>Housing Benefit - average weekly award, private rented sector, Private Deregulated Tenants claiming Local Housing Allowance, England</t>
  </si>
  <si>
    <t>This is an average weekly cost of Housing Benefit in England across all types of tenure.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</si>
  <si>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This is an average weekly cost of Housing Benefit in England for social housing tenants.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</si>
  <si>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This is an average weekly cost of Housing Benefit in England for social housing tenants in local authority-owned stock.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</si>
  <si>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This is an average weekly cost of Housing Benefit in England for social housing tenants in Registered Social Landlord (Registered Provider) stock.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</si>
  <si>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This is an average weekly cost of Housing Benefit in England for tenants in the private rented sector.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</si>
  <si>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This is an average weekly cost of Housing Benefit awards in England to Private Regulated Tenants in the private rented sector.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</si>
  <si>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This is an average weekly cost of Housing Benefit awards in England to Private Deregulated Tenants in the private rented sector who are claiming Local Housing Allowance.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</si>
  <si>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Housing Benefit - average weekly award, private rented sector, Private Deregulated Tenants not claiming Local Housing Allowance</t>
  </si>
  <si>
    <t>This is an average weekly cost of Housing Benefit awards in England to Private Deregulated Tenants in the private rented sector who are not claiming Local Housing Allowance.  The data are released by DWP on a monthly basis (quoted figures are for February 2022).  Source data are no longer published in a spreadsheet format; instead, users are directed to DWP's Stat-Xplore tool to build a customised table.  Data can be sourced for specific geographies down to Lower Layer Super Output Area (LSOA)-level, and a range of detailed further disaggregations are available (e.g. by claimant characteristic, housing characteristic, type of Housing Benefit award).</t>
  </si>
  <si>
    <t>Employment and Support Allowance (GOV.UK, June 2022)</t>
  </si>
  <si>
    <t>Personal Independence Payment (PIP) (GOV.UK, June 2022)</t>
  </si>
  <si>
    <t>Disability Living Allowance (DLA) for Children (GOV.UK, June 2022)</t>
  </si>
  <si>
    <t>Attendance Allowance (GOV.UK, June 2022)</t>
  </si>
  <si>
    <t>Carer's Allowance (GOV.UK, June 2022)</t>
  </si>
  <si>
    <t xml:space="preserve">This entry provides a weighted average for the weekly rent of a local authority social or affordable rental property in England. The amber flag reflects significant local variation - corresponding district-level figures are available from the original source. </t>
  </si>
  <si>
    <t>Live tables on rents, lettings and tenancies (DHLUC, 2022) - Table 702</t>
  </si>
  <si>
    <t>Local authority registered provider (LARP) social housing stock in England: stock and rents profile, 2020-21 (Regulator of Social Housing, 2021), p.12</t>
  </si>
  <si>
    <t>Local authority registered provider (LARP) social housing stock in England: stock and rents profile, 2020-21 (Regulator of Social Housing, 2021), p.13</t>
  </si>
  <si>
    <t>This is the average weekly rent for a local authority-owned social rented bedsit (excluding affordable rent units), sourced from the Local Authority Data Return (LADR).  The amber flag reflects significant local variation - accompanying data files can be downloaded with district-level data.</t>
  </si>
  <si>
    <t>This is the average weekly rent for local authority owned social housing stock, for all property sizes (but excluding affordable rent units), sourced from the Local Authority Data Return (LADR).  The amber flag reflects significant local variation - average values for the English regions are given on p.12, and accompanying data files can be downloaded with district-level data.</t>
  </si>
  <si>
    <t>This is the average weekly rent for a local authority-owned social rented property with a single bedroom (excluding affordable rent units), sourced from the Local Authority Data Return (LADR).  The amber flag reflects significant local variation - accompanying data files can be downloaded with district-level data.</t>
  </si>
  <si>
    <t>This is the average weekly rent for a local authority-owned social rented property with two bedrooms (excluding affordable rent units), sourced from the Local Authority Data Return (LADR).  The amber flag reflects significant local variation - accompanying data files can be downloaded with district-level data.</t>
  </si>
  <si>
    <t>This is the average weekly rent for a local authority-owned social rented property with three bedrooms (excluding affordable rent units), sourced from the Local Authority Data Return (LADR).  The amber flag reflects significant local variation - accompanying data files can be downloaded with district-level data.</t>
  </si>
  <si>
    <t>This is the average weekly rent for a local authority-owned social rented property with four bedrooms (excluding affordable rent units), sourced from the Local Authority Data Return (LADR).  The amber flag reflects significant local variation - accompanying data files can be downloaded with district-level data.</t>
  </si>
  <si>
    <t xml:space="preserve">Updated with 2020/21 costs.  Note that the entry has been moved from the fiscal value to economic value column - this reflects that rents are primarily a cost to the individual </t>
  </si>
  <si>
    <t>This is the average weekly net rent for a Private Registered Provider (PRP) general needs (social rent) property across England, excluding service charges.  Including service charges, the average weekly gross rent equivalent is £100.92 (see p.6).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</si>
  <si>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t>Private registered provider social housing stock in England - rents profile, 2020-2021 (Regulator of Social Housing, 2021), p.8</t>
  </si>
  <si>
    <r>
      <t xml:space="preserve">This is the average weekly net rent for a Private Registered Provider (PRP) general needs (social rent) </t>
    </r>
    <r>
      <rPr>
        <sz val="10"/>
        <color rgb="FF000000"/>
        <rFont val="Arial"/>
        <family val="2"/>
      </rPr>
      <t>bedsit</t>
    </r>
    <r>
      <rPr>
        <b/>
        <sz val="10"/>
        <color rgb="FF000000"/>
        <rFont val="Arial"/>
        <family val="2"/>
      </rPr>
      <t xml:space="preserve"> </t>
    </r>
    <r>
      <rPr>
        <sz val="10"/>
        <color indexed="8"/>
        <rFont val="Arial"/>
        <family val="2"/>
      </rPr>
      <t>property across England,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r>
  </si>
  <si>
    <r>
      <t xml:space="preserve">Private Registered Provider (PRP) social housing stock - average weekly net rent for a </t>
    </r>
    <r>
      <rPr>
        <u/>
        <sz val="10"/>
        <color rgb="FF000000"/>
        <rFont val="Arial"/>
        <family val="2"/>
      </rPr>
      <t>bedsit</t>
    </r>
    <r>
      <rPr>
        <sz val="10"/>
        <color indexed="8"/>
        <rFont val="Arial"/>
        <family val="2"/>
      </rPr>
      <t>, England 
(general needs low cost rentals from PRPs with more than 1,000 units / bedspaces, excluding Affordable Rent units)</t>
    </r>
  </si>
  <si>
    <r>
      <t xml:space="preserve">Private Registered Provider (PRP) social housing stock - average weekly net rent across </t>
    </r>
    <r>
      <rPr>
        <b/>
        <u/>
        <sz val="10"/>
        <color rgb="FF000000"/>
        <rFont val="Arial"/>
        <family val="2"/>
      </rPr>
      <t>all stock sizes</t>
    </r>
    <r>
      <rPr>
        <b/>
        <sz val="10"/>
        <color indexed="8"/>
        <rFont val="Arial"/>
        <family val="2"/>
      </rPr>
      <t xml:space="preserve">, England </t>
    </r>
    <r>
      <rPr>
        <sz val="10"/>
        <color rgb="FF000000"/>
        <rFont val="Arial"/>
        <family val="2"/>
      </rPr>
      <t>(general needs low cost rentals from PRPs with more than 1,000 units / bedspaces, excluding Affordable Rent units)</t>
    </r>
    <r>
      <rPr>
        <b/>
        <sz val="10"/>
        <color indexed="8"/>
        <rFont val="Arial"/>
        <family val="2"/>
      </rPr>
      <t xml:space="preserve">
</t>
    </r>
  </si>
  <si>
    <t>This is the average weekly net rent for a Private Registered Provider (PRP) general needs (social rent) one-bedroom property across England,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</si>
  <si>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t>This is the average weekly net rent for a Private Registered Provider (PRP) general needs (social rent) two-bedroom property across England,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</si>
  <si>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t>This is the average weekly net rent for a Private Registered Provider (PRP) general needs (social rent) three-bedroom property across England,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</si>
  <si>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t>This is the average weekly net rent for a Private Registered Provider (PRP) general needs (social rent) four-bedroom property across England,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</si>
  <si>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r>
      <t xml:space="preserve">Supported housing (social housing) - average weekly net rent across </t>
    </r>
    <r>
      <rPr>
        <b/>
        <u/>
        <sz val="10"/>
        <color rgb="FF000000"/>
        <rFont val="Arial"/>
        <family val="2"/>
      </rPr>
      <t>all stock sizes</t>
    </r>
    <r>
      <rPr>
        <b/>
        <sz val="10"/>
        <color indexed="8"/>
        <rFont val="Arial"/>
        <family val="2"/>
      </rPr>
      <t>, England</t>
    </r>
    <r>
      <rPr>
        <sz val="10"/>
        <color rgb="FF000000"/>
        <rFont val="Arial"/>
        <family val="2"/>
      </rPr>
      <t xml:space="preserve"> (rentals from PRPs with more than 1,000 units / bedspaces, excluding Affordable Rent units)</t>
    </r>
  </si>
  <si>
    <t>Private registered provider social housing stock in England - rents profile, 2020-2021 (Regulator of Social Housing, 2021), p.13</t>
  </si>
  <si>
    <r>
      <t xml:space="preserve">Private Registered Provider (PRP) social housing stock - average weekly net rent for a </t>
    </r>
    <r>
      <rPr>
        <u/>
        <sz val="10"/>
        <color rgb="FF000000"/>
        <rFont val="Arial"/>
        <family val="2"/>
      </rPr>
      <t>one-bedroom</t>
    </r>
    <r>
      <rPr>
        <sz val="10"/>
        <color indexed="8"/>
        <rFont val="Arial"/>
        <family val="2"/>
      </rPr>
      <t xml:space="preserve"> unit, England 
(general needs low cost rentals from PRPs with more than 1,000 units / bedspaces, excluding Affordable Rent units)</t>
    </r>
  </si>
  <si>
    <r>
      <t xml:space="preserve">Private Registered Provider (PRP) social housing stock - average weekly net rent for a </t>
    </r>
    <r>
      <rPr>
        <u/>
        <sz val="10"/>
        <color rgb="FF000000"/>
        <rFont val="Arial"/>
        <family val="2"/>
      </rPr>
      <t>two-bedroom</t>
    </r>
    <r>
      <rPr>
        <sz val="10"/>
        <color indexed="8"/>
        <rFont val="Arial"/>
        <family val="2"/>
      </rPr>
      <t xml:space="preserve"> unit, England 
(general needs low cost rentals from PRPs with more than 1,000 units / bedspaces, excluding Affordable Rent units)</t>
    </r>
  </si>
  <si>
    <r>
      <t xml:space="preserve">Private Registered Provider (PRP) social housing stock - average weekly net rent for a </t>
    </r>
    <r>
      <rPr>
        <u/>
        <sz val="10"/>
        <color rgb="FF000000"/>
        <rFont val="Arial"/>
        <family val="2"/>
      </rPr>
      <t>three-bedroom</t>
    </r>
    <r>
      <rPr>
        <sz val="10"/>
        <color indexed="8"/>
        <rFont val="Arial"/>
        <family val="2"/>
      </rPr>
      <t xml:space="preserve"> unit, England 
(general needs low cost rentals from PRPs with more than 1,000 units / bedspaces, excluding Affordable Rent units)</t>
    </r>
  </si>
  <si>
    <r>
      <t xml:space="preserve">Private Registered Provider (PRP) social housing stock - average weekly net rent for a </t>
    </r>
    <r>
      <rPr>
        <u/>
        <sz val="10"/>
        <color rgb="FF000000"/>
        <rFont val="Arial"/>
        <family val="2"/>
      </rPr>
      <t>four-bedroom</t>
    </r>
    <r>
      <rPr>
        <sz val="10"/>
        <color indexed="8"/>
        <rFont val="Arial"/>
        <family val="2"/>
      </rPr>
      <t xml:space="preserve"> unit, England 
(general needs low cost rentals from PRPs with more than 1,000 units / bedspaces, excluding Affordable Rent units)</t>
    </r>
  </si>
  <si>
    <t xml:space="preserve">This is the average weekly net rent for supported housing (social housing) across all stock sizes in England, excluding service charges.  Including service charges, the average weekly gross rent equivalent is £137.56 (see p.11).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
</t>
  </si>
  <si>
    <r>
      <t xml:space="preserve">Supported housing (social housing) - average weekly net rent for </t>
    </r>
    <r>
      <rPr>
        <u/>
        <sz val="10"/>
        <color rgb="FF000000"/>
        <rFont val="Arial"/>
        <family val="2"/>
      </rPr>
      <t>non-self contained units</t>
    </r>
    <r>
      <rPr>
        <sz val="10"/>
        <color indexed="8"/>
        <rFont val="Arial"/>
        <family val="2"/>
      </rPr>
      <t>, England (rentals from PRPs with more than 1,000 units / bedspaces, excluding Affordable Rent units)</t>
    </r>
  </si>
  <si>
    <t>This is the average weekly net rent for non-self-contained supported housing (social housing),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</si>
  <si>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r>
      <t xml:space="preserve">Supported housing (social housing) - average weekly net rent for a </t>
    </r>
    <r>
      <rPr>
        <u/>
        <sz val="10"/>
        <color rgb="FF000000"/>
        <rFont val="Arial"/>
        <family val="2"/>
      </rPr>
      <t>bedsit</t>
    </r>
    <r>
      <rPr>
        <sz val="10"/>
        <color indexed="8"/>
        <rFont val="Arial"/>
        <family val="2"/>
      </rPr>
      <t>, England (rentals from PRPs with more than 1,000 units / bedspaces, excluding Affordable Rent units)</t>
    </r>
  </si>
  <si>
    <t>This is the average weekly net rent for a supported housing (social housing) bedsit,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</si>
  <si>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r>
      <t xml:space="preserve">Supported housing (social housing) - average weekly net rent for a </t>
    </r>
    <r>
      <rPr>
        <u/>
        <sz val="10"/>
        <color rgb="FF000000"/>
        <rFont val="Arial"/>
        <family val="2"/>
      </rPr>
      <t>one-bedroom unit</t>
    </r>
    <r>
      <rPr>
        <sz val="10"/>
        <color indexed="8"/>
        <rFont val="Arial"/>
        <family val="2"/>
      </rPr>
      <t>, England (rentals from PRPs with more than 1,000 units / bedspaces, excluding Affordable Rent units)</t>
    </r>
  </si>
  <si>
    <t>This is the average weekly net rent for a supported housing (social housing) one-bedroom unit,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</si>
  <si>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r>
      <t xml:space="preserve">Supported housing (social housing) - average weekly net rent for a </t>
    </r>
    <r>
      <rPr>
        <u/>
        <sz val="10"/>
        <color rgb="FF000000"/>
        <rFont val="Arial"/>
        <family val="2"/>
      </rPr>
      <t>two-bedroom uni</t>
    </r>
    <r>
      <rPr>
        <sz val="10"/>
        <color indexed="8"/>
        <rFont val="Arial"/>
        <family val="2"/>
      </rPr>
      <t>t, England (rentals from PRPs with more than 1,000 units / bedspaces, excluding Affordable Rent units)</t>
    </r>
  </si>
  <si>
    <t>This is the average weekly net rent for a supported housing (social housing) two-bedroom unit,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</si>
  <si>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t>Supported housing (social housing) - average weekly net rent for a three-bedroom unit, England (rentals from PRPs with more than 1,000 units / bedspaces, excluding Affordable Rent units)</t>
  </si>
  <si>
    <t>This is the average weekly net rent for a supported housing (social housing) three-bedroom unit, excluding service charges.   The amber flag reflects significant local variation - corresponding district-level figures are available from the wider source documentation.  The data are drawn from larger PRPs with 1,000 or more units / bedspaces, and exclude smaller providers; they also exclude Affordable Rent units.</t>
  </si>
  <si>
    <t>Private registered provider social housing stock in England - rents profile, 2020-2021 (Regulator of Social Housing, 2021), p.16</t>
  </si>
  <si>
    <r>
      <t>Private Registered Provider (PRP) social housing stock - average weekly gross rent for</t>
    </r>
    <r>
      <rPr>
        <b/>
        <u/>
        <sz val="10"/>
        <color rgb="FF000000"/>
        <rFont val="Arial"/>
        <family val="2"/>
      </rPr>
      <t xml:space="preserve"> Affordable Rent general needs</t>
    </r>
    <r>
      <rPr>
        <b/>
        <sz val="10"/>
        <color rgb="FF000000"/>
        <rFont val="Arial"/>
        <family val="2"/>
      </rPr>
      <t xml:space="preserve"> units, England</t>
    </r>
    <r>
      <rPr>
        <sz val="10"/>
        <color rgb="FF000000"/>
        <rFont val="Arial"/>
        <family val="2"/>
      </rPr>
      <t xml:space="preserve"> (all stock sizes, data for all PRPs with Affordable Rent stock)</t>
    </r>
    <r>
      <rPr>
        <b/>
        <sz val="10"/>
        <color indexed="8"/>
        <rFont val="Arial"/>
        <family val="2"/>
      </rPr>
      <t xml:space="preserve">
</t>
    </r>
  </si>
  <si>
    <r>
      <t xml:space="preserve">Private Registered Provider (PRP) social housing stock - average weekly gross rent for </t>
    </r>
    <r>
      <rPr>
        <b/>
        <u/>
        <sz val="10"/>
        <color rgb="FF000000"/>
        <rFont val="Arial"/>
        <family val="2"/>
      </rPr>
      <t>Affordable Rent supported housing unit</t>
    </r>
    <r>
      <rPr>
        <b/>
        <sz val="10"/>
        <color rgb="FF000000"/>
        <rFont val="Arial"/>
        <family val="2"/>
      </rPr>
      <t>s, England</t>
    </r>
    <r>
      <rPr>
        <sz val="10"/>
        <color rgb="FF000000"/>
        <rFont val="Arial"/>
        <family val="2"/>
      </rPr>
      <t xml:space="preserve"> (all stock sizes, data for all PRPs with Affordable Rent stock)</t>
    </r>
    <r>
      <rPr>
        <b/>
        <sz val="10"/>
        <color indexed="8"/>
        <rFont val="Arial"/>
        <family val="2"/>
      </rPr>
      <t xml:space="preserve">
</t>
    </r>
  </si>
  <si>
    <t>Private registered provider social housing stock in England - rents profile, 2020-2021 (Regulator of Social Housing, 2021), p.18</t>
  </si>
  <si>
    <r>
      <t xml:space="preserve">This is the average weekly </t>
    </r>
    <r>
      <rPr>
        <u/>
        <sz val="10"/>
        <color rgb="FF000000"/>
        <rFont val="Arial"/>
        <family val="2"/>
      </rPr>
      <t>gross</t>
    </r>
    <r>
      <rPr>
        <sz val="10"/>
        <color indexed="8"/>
        <rFont val="Arial"/>
        <family val="2"/>
      </rPr>
      <t xml:space="preserve"> rent of a Private Registered Provider (PRP) Affordable Rent supported housing unit in England.  There are relatively few Affordable Rent supported housing units in England (around 6% of all Affordable Rent units); for most of them, the gross rents are likely to include some level of service charge based on client needs.
The amber flag reflects significant local variation, driven primarily by differences in local market rents (which determine the level of Affordable Rent that is set in different places) - corresponding district-level figures are available from the wider source documentation.  The data are drawn from all PRPs with Affordable Rent stock.</t>
    </r>
  </si>
  <si>
    <r>
      <t xml:space="preserve">This is the average weekly </t>
    </r>
    <r>
      <rPr>
        <u/>
        <sz val="10"/>
        <color rgb="FF000000"/>
        <rFont val="Arial"/>
        <family val="2"/>
      </rPr>
      <t>gross</t>
    </r>
    <r>
      <rPr>
        <sz val="10"/>
        <color indexed="8"/>
        <rFont val="Arial"/>
        <family val="2"/>
      </rPr>
      <t xml:space="preserve"> rent of a Private Registered Provider (PRP) Affordable Rent general needs unit in England.  Affordable Rent units are made available by providers to households that are eligible for social rented housing, at a rent level of no more than 80% of the market rent of an equivalent property, inclusive of service charges.  They cover both newly built homes (with or without grant input) and conversions from existing social rented units to Affordable Rent units.  
The amber flag reflects significant local variation, driven primarily by differences in local market rents (which determine the level of Affordable Rent that is set in different places) - corresponding district-level figures are available from the wider source documentation.  The data are drawn from all PRPs with Affordable Rent stock.</t>
    </r>
  </si>
  <si>
    <r>
      <t xml:space="preserve">Private rental property - average monthly rent (mean), England, </t>
    </r>
    <r>
      <rPr>
        <b/>
        <u/>
        <sz val="10"/>
        <color rgb="FF000000"/>
        <rFont val="Arial"/>
        <family val="2"/>
      </rPr>
      <t>all property sizes</t>
    </r>
  </si>
  <si>
    <t>Private rental market summary statistics in England - April 2021 to March 2022 (ONS, 2022)</t>
  </si>
  <si>
    <t>Private rental property - average monthly rent (mean), England - single room</t>
  </si>
  <si>
    <t>Private rental property - average monthly rent (mean), England - studio</t>
  </si>
  <si>
    <t>Private rental property - average monthly rent (mean), England - one bedroom</t>
  </si>
  <si>
    <t>Private rental property - average monthly rent (mean), England - two bedrooms</t>
  </si>
  <si>
    <t>Private rental property - average monthly rent (mean), England - three bedrooms</t>
  </si>
  <si>
    <t>Private rental property - average monthly rent (mean), England - four or more bedrooms</t>
  </si>
  <si>
    <t>This is the average monthly rental cost of a private rented property with four or more bedrooms in England. The figure quoted here is the mean value, but the source also quotes the median rent at £1,450.
The amber flag reflects significant local variation - corresponding district-level figures are available from the original source. As of 2020, the release of these statistics is published by the Office for National Statistics (ONS), as opposed to the Valuation Office Agency (VOA).</t>
  </si>
  <si>
    <t>This is the average monthly rental cost of a private rented three-bedroom property in England. The figure quoted here is the mean value, but the source also quotes the median rent at £850.
The amber flag reflects significant local variation - corresponding district-level figures are available from the original source. As of 2020, the release of these statistics is published by the Office for National Statistics (ONS), as opposed to the Valuation Office Agency (VOA).</t>
  </si>
  <si>
    <t>This is the average monthly rental cost of a private rented property of any size in England.  The figure quoted here is the mean value, but the source also quotes the median rent at £795.
The amber flag reflects significant local variation - corresponding district-level figures are available from the original source, including figures for different property sizes.</t>
  </si>
  <si>
    <t>This is the average monthly rental cost of a private rented single room in England.  The figure quoted here is the mean value, but the source also quotes the median rent at £425.
The amber flag reflects significant local variation - corresponding district-level figures are available from the original source, including figures for different property sizes.</t>
  </si>
  <si>
    <t>This is the average monthly rental cost of a private rented studio property in England.  The figure quoted here is the mean value, but the source also quotes the median rent at £615.
The amber flag reflects significant local variation - corresponding district-level figures are available from the original source, including figures for different property sizes.</t>
  </si>
  <si>
    <t>This is the average monthly rental cost of a private rented one-bedroom property in England.  The figure quoted here is the mean value, but the source also quotes the median rent at £700.
The amber flag reflects significant local variation - corresponding district-level figures are available from the original source, including figures for different property sizes.</t>
  </si>
  <si>
    <t>This is the average monthly rental cost of a private rented two-bedroom property in England.  The figure quoted here is the mean value, but the source also quotes the median rent at £769.
The amber flag reflects significant local variation - corresponding district-level figures are available from the original source, including figures for different property sizes.</t>
  </si>
  <si>
    <t>Social housing - average maintenance and management costs per unit per annum, England</t>
  </si>
  <si>
    <t>Registered Provider</t>
  </si>
  <si>
    <t>Value for money metrics and reporting 2021 - Annex to 2021 Global Accounts (Regulator of Social Housing, 2022)</t>
  </si>
  <si>
    <r>
      <t xml:space="preserve">This is the average, median cost per annum for maintenance and management of a social housing unit (the Headline Social Housing Cost, or HSHC).  The Headline Social Housing Cost is defined as comprising management and service charge costs, maintenance, major repairs and other social housing costs - see </t>
    </r>
    <r>
      <rPr>
        <i/>
        <sz val="10"/>
        <color rgb="FF000000"/>
        <rFont val="Arial"/>
        <family val="2"/>
      </rPr>
      <t xml:space="preserve">Value for Money metrics: Technical note guidance (Regulator of Social Housing, </t>
    </r>
    <r>
      <rPr>
        <sz val="10"/>
        <color indexed="8"/>
        <rFont val="Arial"/>
        <family val="2"/>
      </rPr>
      <t xml:space="preserve">May 2022).
Note that the median cost has been quoted here, as opposed to the mean.  As detailed in the source, there is a significant variety in the individual costs of social housing units, and high values may distort the mean.
</t>
    </r>
  </si>
  <si>
    <t>HO11.6</t>
  </si>
  <si>
    <r>
      <t xml:space="preserve">Local authority social and affordable rental housing stock - average weekly rent, England, </t>
    </r>
    <r>
      <rPr>
        <b/>
        <u/>
        <sz val="10"/>
        <color rgb="FF000000"/>
        <rFont val="Arial"/>
        <family val="2"/>
      </rPr>
      <t>all stock sizes</t>
    </r>
  </si>
  <si>
    <r>
      <t xml:space="preserve">Local authority social rented property (excluding affordable rent units), average weekly rent, England - </t>
    </r>
    <r>
      <rPr>
        <u/>
        <sz val="10"/>
        <color rgb="FF000000"/>
        <rFont val="Arial"/>
        <family val="2"/>
      </rPr>
      <t>all stock sizes</t>
    </r>
  </si>
  <si>
    <r>
      <t xml:space="preserve">Local authority social rented property (excluding affordable rent units), average weekly net rent, England - </t>
    </r>
    <r>
      <rPr>
        <u/>
        <sz val="10"/>
        <color rgb="FF000000"/>
        <rFont val="Arial"/>
        <family val="2"/>
      </rPr>
      <t>bedsit</t>
    </r>
  </si>
  <si>
    <r>
      <t xml:space="preserve">Local authority social rented property (excluding affordable rent units), average weekly net rent, England - </t>
    </r>
    <r>
      <rPr>
        <u/>
        <sz val="10"/>
        <color rgb="FF000000"/>
        <rFont val="Arial"/>
        <family val="2"/>
      </rPr>
      <t>one bedroom</t>
    </r>
  </si>
  <si>
    <r>
      <t xml:space="preserve">Local authority social rented property (excluding affordable rent units), average weekly net rent, England - </t>
    </r>
    <r>
      <rPr>
        <u/>
        <sz val="10"/>
        <color rgb="FF000000"/>
        <rFont val="Arial"/>
        <family val="2"/>
      </rPr>
      <t>two bedroom</t>
    </r>
  </si>
  <si>
    <r>
      <t xml:space="preserve">Local authority social rented property (excluding affordable rent units), average weekly net rent, England - </t>
    </r>
    <r>
      <rPr>
        <u/>
        <sz val="10"/>
        <color rgb="FF000000"/>
        <rFont val="Arial"/>
        <family val="2"/>
      </rPr>
      <t>three bedroom</t>
    </r>
  </si>
  <si>
    <r>
      <t xml:space="preserve">Local authority social rented property (excluding affordable rent units), average weekly net rent, England - </t>
    </r>
    <r>
      <rPr>
        <u/>
        <sz val="10"/>
        <color rgb="FF000000"/>
        <rFont val="Arial"/>
        <family val="2"/>
      </rPr>
      <t>four bedroom</t>
    </r>
  </si>
  <si>
    <t>HO15.1</t>
  </si>
  <si>
    <t>HO15.2</t>
  </si>
  <si>
    <t>HO15.3</t>
  </si>
  <si>
    <t>HO15.4</t>
  </si>
  <si>
    <t>HO15.5</t>
  </si>
  <si>
    <t>HO16.0</t>
  </si>
  <si>
    <t>HMPPS - Costs per place and costs per prisoner by individual prison: HM Prison &amp; Probation Service Annual Report and Accounts 2020-21 - Management Information Addendum (MOJ, 2022)</t>
  </si>
  <si>
    <t>Per prisoner per year</t>
  </si>
  <si>
    <t>Offender, Prison 
Male Category B Trainer prison including central costs
(costs per prisoner per annum)</t>
  </si>
  <si>
    <t>Offender, Prison 
Male Category C Trainer prison including central costs
(costs per prisoner per annum)</t>
  </si>
  <si>
    <t>Offender, Prison 
Male reception prison including central costs
(costs per prisoner per annum)</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</si>
  <si>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Male Category B Trainer prisons divided by the (mean) average of the 12-month end populations in these prisons for the year.
Closed training prisons provide a range of facilities for Category B and Category C adult male prisoners and closed condition adult females who are serving medium to long-term sentences.  Prisoners tend to be employed in a variety of activities such as prison workshops, gardens and education and in offending behaviour programmes.</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</si>
  <si>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Male Category C Trainer prisons divided by the (mean) average of the 12-month end populations in these prisons for the year.
Closed training prisons provide a range of facilities for Category B and Category C adult male prisoners and closed condition adult females who are serving medium to long-term sentences.  Prisoners tend to be employed in a variety of activities such as prison workshops, gardens and education and in offending behaviour programmes.</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</si>
  <si>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male open prisons divided by the (mean) average of the 12-month end populations in these prisons for the year.
Open prisons house Category D adult male prisoners and Open condition adult females whose risk of absconding is considered to be low, or who are of little risk to the public because of the nature of their offence.  Open prisons also house long-term prisoners who are coming towards the end of their sentence and who have gradually worked their way down the categories. Open prisons are part of the resettlement programme to reintegrate prisoners back into society.  Whilst open prisons may have some workshop facilities, some of the prisoners will work in the community, returning to the prison in the evening.</t>
  </si>
  <si>
    <t>These figures represent the overall average cost of holding one prisoner for a year, and comprise the net expenditure managed and recorded at each prison plus the net expenditure met at regional or national level and recorded in the annual accounts of the National Offender Management Service (NOMS).  The cost is derived from overall resource expenditure on male reception prisons divided by the (mean) average of the 12-month end populations in these prisons for the year.
Local (reception) prisons serve the courts and receive remand and post conviction prisoners, prior to their allocation to other establishments.</t>
  </si>
  <si>
    <t>2026/27</t>
  </si>
  <si>
    <t>https://www.gov.uk/government/statistics/gdp-deflators-at-market-prices-and-money-gdp-march-2022-spring-statement</t>
  </si>
  <si>
    <t>• GDP Lookup Tables are based on 'GDP deflators at market prices, and money GDP March 2022 (Spring Statement)', released by HM Treasury on 24 March 2022</t>
  </si>
  <si>
    <t>f = money GDP forecasts from the Office for Budget Responsibility (OBR) as of the Spring Statement, March 2022</t>
  </si>
  <si>
    <t>E&amp;E1.1</t>
  </si>
  <si>
    <t>E&amp;E1.4</t>
  </si>
  <si>
    <t>E&amp;E1.5</t>
  </si>
  <si>
    <t>Jobseekers Allowance (JSA) supports people who are out of work and seeking employment. This is 'new style' JSA; contribution-based or income-based JSA has been discontinued for new claimants.  The quoted cost is the maximum weekly payment for claimants aged up to 24, but the entitlement can vary depending on age.</t>
  </si>
  <si>
    <t>ESA claimants aged 25 years old and over receive up to this sum for 13 weeks after their initial claim, during the assessment phase.  They then progress to either the work-related activity group or the support group (see related subsidiary costs).</t>
  </si>
  <si>
    <t>Personal Independence Payment (PIP) is a regular payment for disabled adults who need help with the extra costs caused by long-term ill health or disability.  PIP started to replace Disability Living Allowance (DLA) for people aged 16 to 64 from 8 April 2013.  
PIP has a Daily Living and/or a Mobility Component.  The amounts paid depend upon how the claimants disability or health condition affects them, with weekly payments varying between £24 and £157 (2022/23 prices).  Decisions over whether claimants receive both or just one of the component elements are based on an assessment, which also determines whether the higher or standard rates are paid.  See the source website for more information on eligibility.</t>
  </si>
  <si>
    <t>Personal Independence Payment
Daily living component: lower rate</t>
  </si>
  <si>
    <t>Disability Living Allowance (DLA) for Children is a regular payment to support the extra costs of looking after a child (aged under 16) who has difficulty walking or needs more looking after than a child of the same age who doesn’t have a disability.  It has a Care Component and/or a Mobility Component.  The amounts paid depend upon how the level of help the child needs, with weekly payments varying between £24 and £157 (2022/23 prices).  Decisions over whether claimants receive both or just one of the component elements are based on an assessment, which also determines whether the higher, middle or lower rates are paid.  See the source website for more information on eligibility.  The highest Care Component rate is paid to children needing help or supervision throughout both day and night, or who are terminally ill.</t>
  </si>
  <si>
    <t>Disability Living Allowance (DLA) for Children is a regular payment to support the extra costs of looking after a child (aged under 16) who has difficulty walking or needs more looking after than a child of the same age who doesn’t have a disability.  It has a Care Component and/or a Mobility Component.  The amounts paid depend upon how the level of help the child needs, with weekly payments varying between £24 and £157 (2022/23 prices).  Decisions over whether claimants receive both or just one of the component elements are based on an assessment, which also determines whether the higher, middle or lower rates are paid.  See the source website for more information on eligibility.  The middle Care Component rate is paid to children needing frequent help or constant supervision during the day, supervision at night, or someone to help them while on dialysis.</t>
  </si>
  <si>
    <t>Disability Living Allowance (DLA) for Children is a regular payment to support the extra costs of looking after a child (aged under 16) who has difficulty walking or needs more looking after than a child of the same age who doesn’t have a disability.  It has a Care Component and/or a Mobility Component.  The amounts paid depend upon how the level of help the child needs, with weekly payments varying between £24 and £157 (2022/23 prices).  Decisions over whether claimants receive both or just one of the component elements are based on an assessment, which also determines whether the higher, middle or lower rates are paid.  See the source website for more information on eligibility.  The lowest Care Component rate is paid to children needing help for some of the day.</t>
  </si>
  <si>
    <t>Disability Living Allowance (DLA) for Children is a regular payment to support the extra costs of looking after a child (aged under 16) who has difficulty walking or needs more looking after than a child of the same age who doesn’t have a disability.  It has a Care Component and/or a Mobility Component.  The amounts paid depend upon how the level of help the child needs, with weekly payments varying between £24 and £157 (2022/23 prices).  Decisions over whether claimants receive both or just one of the component elements are based on an assessment, which also determines whether the higher, middle or lower rates are paid.  See the source website for more information on eligibility.  The higher Mobility Component rate is paid to children who can’t walk, can only walk a short distance without severe discomfort, could become very ill if they try to walk, or who are blind or severely sight impaired.</t>
  </si>
  <si>
    <t>Disability Living Allowance (DLA) for Children is a regular payment to support the extra costs of looking after a child (aged under 16) who has difficulty walking or needs more looking after than a child of the same age who doesn’t have a disability.  It has a Care Component and/or a Mobility Component.  The amounts paid depend upon how the level of help the child needs, with weekly payments varying between £24 and £157 (2022/23 prices).  Decisions over whether claimants receive both or just one of the component elements are based on an assessment, which also determines whether the higher, middle or lower rates are paid.  See the source website for more information on eligibility.  The lower Mobility Component rate is paid to children who can walk but need help and/or supervision when outdoors.</t>
  </si>
  <si>
    <t>Disability Living Allowance (DLA) for Adults (GOV.UK, June 2022)</t>
  </si>
  <si>
    <t>Income Support (GOV.UK, June 2022)</t>
  </si>
  <si>
    <t>Income Support is extra money for those on a low income or none at all, who are working less than 16 hours a week and haven't signed on as unemployed.  Income Support claimants receive a basic payment (a ‘personal allowance’) and extra payments (premiums) on top of this; income and savings level determine how much is received.  The quoted data are the personal allowance payment; see the source website for a Benefits Calculator tool that can help calculate the premium payment individuals might receive.  Note that Income Support has been discontinued for new claimants.</t>
  </si>
  <si>
    <t>Income Support is extra money for those on a low income or none at all, who are working less than 16 hours a week and haven't signed on as unemployed.  Income Support claimants receive a basic payment (a ‘personal allowance’) and extra payments (premiums) on top of this; income and savings level determine how much is received.  The quoted data are the 'higher rate' personal allowance payment for couples both under the age of 18, available if either person is responsible for a child, or if both would be eligible for one of the following if they weren’t a couple: Employment and Support Allowance; Income Support; or Job Seeker's Allowance.  See the source website for a Benefits Calculator tool that can help calculate the premium payment individuals might receive.  Note that Income Support has been discontinued for new claimants.</t>
  </si>
  <si>
    <t>Income Support is extra money for those on a low income or none at all, who are working less than 16 hours a week and haven't signed on as unemployed.  Income Support claimants receive a basic payment (a ‘personal allowance’) and extra payments (premiums) on top of this; income and savings level determine how much is received.  The quoted data are the 'higher rate' personal allowance payment for couples, one of whom is aged under 18, and the other over; the higher rate is available if either person is responsible for a child, or if both would be eligible for one of the following if they weren’t a couple: Employment and Support Allowance; Income Support; or Job Seeker's Allowance.  See the source website for a Benefits Calculator tool that can help calculate the premium payment individuals might receive.  Note that Income Support has been discontinued for new claimants.</t>
  </si>
  <si>
    <t>Not in Employment Education or Training (NEET)
Average cost per 18-24 year old NEET- fiscal cost to DWP</t>
  </si>
  <si>
    <t>Not in Employment Education or Training (NEET)
Average cost per 18-24 year old NEET - fiscal cost to HMRC</t>
  </si>
  <si>
    <t>Income Support: (HISTORIC)
Single - aged 16-24 (or lone parent aged 16 or 17), maximum payment</t>
  </si>
  <si>
    <t>Income Support: (HISTORIC)
Single - 25 or over (or lone parent 18 or over), maximum payment</t>
  </si>
  <si>
    <t>Income Support: (HISTORIC)
Couple - both under 18, maximum payment</t>
  </si>
  <si>
    <t>Income Support: (HISTORIC)
Couple - both under 18, 'higher rate', maximum payment</t>
  </si>
  <si>
    <t>Income Support: (HISTORIC)
Couple - one under 18, the other 18-24, maximum payment</t>
  </si>
  <si>
    <t>Income Support: (HISTORIC)
Couple - one under 18, one 25 or over, maximum payment</t>
  </si>
  <si>
    <t>Income Support: (HISTORIC)
Couple - one under 18, one over 18, 'higher rate', maximum payment</t>
  </si>
  <si>
    <t>Income Support: (HISTORIC)
Couple - both 18 or over, maximum payment</t>
  </si>
  <si>
    <t>Updated entries to reflect annual increases to benefit payments made by the Department for Work and Pensions.  Some historic entries that are no longer relevant due to changed eligibility criteria have been deleted, but benefits that are not open to new claimants but are still paid to historic claimants (e.g. Income Support, Disability Living Allowance for adults) remain listed.</t>
  </si>
  <si>
    <t>Environment</t>
  </si>
  <si>
    <t>Fire</t>
  </si>
  <si>
    <t>n/a</t>
  </si>
  <si>
    <t>per marginal physically active visit to green space</t>
  </si>
  <si>
    <t>AIR POLLUTION  (PM2.5)</t>
  </si>
  <si>
    <t>AIR POLLUTANT REMOVAL BY VEGETATION</t>
  </si>
  <si>
    <t>NOISE REDUCTION BY VEGETATION</t>
  </si>
  <si>
    <t>NATURE BASED RECREATION</t>
  </si>
  <si>
    <t>PHYSICAL HEALTH BENEFITS FROM NATURE</t>
  </si>
  <si>
    <t>LOCAL AMENITY</t>
  </si>
  <si>
    <t>VISUAL AMENITY</t>
  </si>
  <si>
    <t>LOSS OF AMENITY</t>
  </si>
  <si>
    <t>WATER AVAILABILITY</t>
  </si>
  <si>
    <t>FLOOD DAMAGE</t>
  </si>
  <si>
    <t>WATER QUALITY</t>
  </si>
  <si>
    <t>NATURE BASED CARBON REDUCTION (PEATLAND)</t>
  </si>
  <si>
    <t>SOIL EROSION</t>
  </si>
  <si>
    <t>GHG VALUES</t>
  </si>
  <si>
    <t>AIR POLLUTION (NOx)</t>
  </si>
  <si>
    <t>FLOOD REGULATION (WOODLAND)</t>
  </si>
  <si>
    <t xml:space="preserve">Updated GDP deflators with latest HMT release (March 2022).  </t>
  </si>
  <si>
    <t>The database contains costs across the following themes: crime; education and skills; employment and economy; environment; fire; health; housing; and social services.  The database continues to be informed by a range of partners, to whom we are very grateful for the input received.  The data have been subject to a rigorous validation process, including assessing the robustness of the original source documentation, considering how data have been derived from constituent cost elements, comparing cost entries to related data, and exploring the availability of more recent and/or robust sources.  The data have also been reviewed by analysts from relevant Whitehall departments.</t>
  </si>
  <si>
    <t>All costs are updated to account for inflation (currently quoted at 2022/23 prices).  To change this, go to cell K11 in the 'Lookups' worksheet and select a different year - all cost entries will automatically update).  Note that many of the entries are relatively high level, providing a generic indication of the likely scale of costs for different interventions and outcomes.  Most costs are averages, based on national research, and therefore they may not correspond exactly to local costs.  In order to develop locally specific data, users may want to undertake research into costs in their area, or apply an appropriate discount to account for regional variation.</t>
  </si>
  <si>
    <t>The economic case for investing in the prevention of mental health conditions in the UK (London School of Economics and Political Science, 2022)</t>
  </si>
  <si>
    <t>New entry, sourced from 2022 publication</t>
  </si>
  <si>
    <t>Average cost associated with depression, all ages, UK - overall public value (fiscal, economic and social costs combined)</t>
  </si>
  <si>
    <t>Average cost associated with anxiety, all ages, UK - overall public value (fiscal, economic and social costs combined)</t>
  </si>
  <si>
    <t>Average cost associated with schizophrenia, all ages, UK - overall public value (fiscal, economic and social costs combined)</t>
  </si>
  <si>
    <t>Average cost associated with bipolar disorder, all ages, UK - overall public value (fiscal, economic and social costs combined)</t>
  </si>
  <si>
    <t>Average cost associated with anorexia, all ages, UK - overall public value (fiscal, economic and social costs combined)</t>
  </si>
  <si>
    <t>This entry is derived from the data on overall cost by mental health condition provided in Table 6 of the source document (p.52), divided by the prevalence data by mental health condition as detailed in Table 3 (p.49).  In contrast to the mental health entries sourced from the King's Fund 2008 report, it is important to note that the entry relates to overall public value, combining the fiscal, economic and social elements, rather than separating these out as is the general approach across the unit cost database.  Although the source does not disaggregate the costs for specific mental health conditions into their fiscal, economic or social components, Table 4 (p.50) enables this to be done for the headline cost of all mental health conditions combined: fiscal costs (associated with mental health care, primary care, social care and education) account for 16% of the total cost of all mental health conditions; economic costs (associated with productivity loss and the cost of informal care - the latter is assumed to be predominantly an opportunity cost to individual carers) account for 62%; and social costs (associated with 'intangible costs', which the source describes as difficult to monetise but relating to adverse impacts on quality of life and issues such as social exclusion and discrimination) account for 22%.   We have chosen to quote the entry in the 'Economic value' column, reflecting the evidence provided that economic costs constitute the largest element of overall public value associated with mental health conditions - however, the proportions will vary depending on the specific mental health condition, e.g. constituent costs for schizophrenia will be very different to those for anxiety disorders.
An amber flag has been allocated, given the relatively unspecific nature of the cost entry in relation to how the unit cost database is structured, and hence the need to use it with some care.</t>
  </si>
  <si>
    <t>Average cost associated with dysthymia (persistent depressive disorder), all ages, UK - overall public value (fiscal, economic and social costs combined)</t>
  </si>
  <si>
    <t>Average cost associated with autism, all ages, UK - overall public value (fiscal, economic and social costs combined)</t>
  </si>
  <si>
    <t>Average cost associated with ADHD (attention deficit hyperactivity disorder), all ages, UK - overall public value (fiscal, economic and social costs combined)</t>
  </si>
  <si>
    <t>Average cost associated with conduct disorder, all ages, UK - overall public value (fiscal, economic and social costs combined)</t>
  </si>
  <si>
    <t>Average cost associated with any type of mental health condition, excluding dementia, all ages, UK - overall public value (fiscal, economic and social costs combined)</t>
  </si>
  <si>
    <t>Adult Social Care Activity and Finance Report, England - 2020-21, Reference Data Tables, Table 54</t>
  </si>
  <si>
    <t>This headline cost for looked after children (LAC) should only be used in the absence of more specific data on the type of placement provided to individual children.  If such data are available, we advise using the more specific costs provided for foster care and residential care homes (see entries SS2.0, SS3.0).
The cost is derived from Department for Education (DfE) Section 251 outturn data on net current expenditure on LAC (looked after children) in England in 2020/21, and DfE 903 return data on the number of LAC in England in March 2021; the Section 251 data were divided by the 903 return number to calculate a national average unit cost per LAC.  The Section 251 data encompasses the following areas of LAC expenditure: residential care; fostering services; adoption services; special guardianship support; other children looked after services; short breaks (respite) for looked after disabled children; children placed with family and friends; education of LAC; leaving care support services; and asylum seeker services - children.  The method was chosen over other types of calculation and sources of potential headline data, as it considers expenditure across a range of placement types, and provides an average across all English local authorities.  In practice, as demonstrated by some of the subsidiary costs below (many of which are based on particular scenarios that outline LAC with varying degrees of need), expenditure on LAC varies widely depending on the needs of the child and the local context (for example, areas with high numbers of LAC but fewer available foster care places may have a higher proportion of LAC provision in residential homes, which are considerably more expensive than fostering provision).  
Note that we have revised the methodology used in more historic versions of the unit cost database, which added in a proportion of the total net cost quoted in the Section 251 return for 'Safeguarding Children and Young People's Services', in order to capture wider social work costs associated with looked after children.  The current entry excludes these social work costs, and is based solely on the placement cost areas detailed above.  For this reason, and due to the potential local variance described above, an amber flag has been allocated.  The amber flag also reflects some variance in local authority approaches to completing the Section 251 return.  To ensure full confidence in the robustness of data, it is recommended that, where possible, local areas calculate their own unit costs using children's services data on total expenditure on LAC divided by the number of LAC this expenditure relates to.
A further change from historic versions of the database is the removal of the social value provided for LAC (this was quoted in the Comment cell), which related to the human and emotional harm experienced by children taken into care, and was based upon the social value associated with domestic violence (see the Domestic Violence entry in the 'Crime' worksheet).  We have taken it out due to concerns over appropriateness in transferring to LAC (for example, in some instances taking a child into care may reduce human and emotional harm, by avoiding abuse and neglect), and to avoid the potential for double-counting should modelled outcomes include both LAC and domestic violence.
Finally, note that although there may be a longer-term economic impact associated with a child being taken into care (e.g. in terms of future earning potential), in the shorter-term this does not apply.</t>
  </si>
  <si>
    <t>Recalculated using 2020-21 DfE s251 and SSDA903 data</t>
  </si>
  <si>
    <r>
      <t xml:space="preserve">This is the average annual fiscal cost of service provision per adult suffering from depression and anxiety disorders.  In addition, the economic value quoted is related to lost earnings; other social costs (e.g. from reduced well-being) are not monetised in the King's Fund report.  The fiscal cost includes the following service areas: prescribed drugs; inpatient care; GP costs; other NHS services; supported accommodation; and social services costs.  As shown in the constituent measures below, the cost falls predominantly to the NHS (92%), followed by the local authority (8%).  A red flag has been applied, in recognition of the age of the data (2007-08).  Note that the source quotes research that found that around one third of working age adults with depression and half of those with an anxiety disorder are not in contact with services (i.e. not accessing provision or diagnosed by a GP with a mental health condition) - this cost is an average across all adults suffering from depression and/or anxiety disorders, regardless of whether they are in contact with services or not.  The source also provides costs for a range of other adult mental health conditions, including dementia, and for child and adolescent disorders - these are outlined in the subsidiary and constituent costs detailed below.  Research from elsewhere (Mental Health Promotion and Mental Illness Prevention: the economic case, Knapp et al, 2011) suggests that the cost (to employers) of work-based screening for depression and anxiety disorders is £31 per employee (2009-10 prices), comprising completion of a screening questionnaire, follow-up assessment to confirm depression, and care management costs; subsequent delivery of six sessions of face-to-face CBT can cost some £240 per course.  The relatively low cost of such interventions, compared to the potential savings demonstrated in the data quoted here, demonstrate their cost-effectiveness. 
</t>
    </r>
    <r>
      <rPr>
        <sz val="10"/>
        <color rgb="FF000000"/>
        <rFont val="Arial"/>
        <family val="2"/>
      </rPr>
      <t>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These costs are detailed below as subsidiary costs below the King's Fund cost for specific mental health conditions.</t>
    </r>
  </si>
  <si>
    <t>This is the average annual fiscal cost of service provision per adult suffering from any type of mental health disorder, including dementia.  In addition, the economic value quoted comprises lost earnings (£3,248 per person on average, at 2007-08 prices) and costs falling to informal carers (an estimated £792 per person); other social costs (e.g. from reduced well-being) are not monetised in the King's Fund report.  As shown in the constituent measures below, the fiscal cost comprises costs to the local authority (56.6%), NHS (42.7%)  and criminal justice system (0.7%).  A red flag has been applied, in recognition of the age of the data (2007-08).  The high cost of service provision for people suffering from dementia, allied with high prevalence of the condition, has a significant impact on the average figure quoted here - see the related subsidiary and constituent cost lines for average costs excluding dementia.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These costs are detailed below as subsidiary costs below the King's Fund cost for specific mental health conditions.</t>
  </si>
  <si>
    <t>This is the average annual fiscal cost of service provision per adult suffering from any type of mental health disorder, excluding dementia (it may be useful to separate out dementia from other mental health costs, due to: the differing nature of dementia from other mental health disorders, and the largely elderly cohort of dementia sufferers; and the disproportionate impact that the inclusion of dementia has on average values, given its high cost and prevalence).  In addition, the economic value quoted comprises lost earnings (£3,501 per person on average, at 2007-08 prices) and costs falling to informal carers (an estimated £136 per person); other social costs (e.g. from reduced well-being) are not monetised in the King's Fund report.  As shown in the constituent measures below, the quoted value comprises fiscal costs to the NHS (87%), local authority (11%) and criminal justice system (2%).  A red flag has been applied, in recognition of the age of the data (2007-08).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These costs are detailed below as subsidiary costs below the King's Fund cost for specific mental health conditions.</t>
  </si>
  <si>
    <t>This is the average annual fiscal cost of service provision per adult suffering from depression (encompassing severe depressive disorder, moderate depressive disorder and mild depressive disorder).  In addition, the economic value quoted relates to lost earnings; other social costs (e.g. from reduced well-being) are not monetised in the King's Fund report.  As shown in the constituent measures below, the quoted fiscal value comprises costs to the NHS (90%) and local authority (10%).  A red flag has been applied, in recognition of the age of the data (2007-08).  Note that this average has been calculated across all adults with depression, regardless of whether they accessed service provision or not.  The source quotes research that found that around two-thirds (65%) of working-age adults with depression access provision (i.e. around a third do not) - the average fiscal cost for adults suffering from depression who are 'in contact' with provision (either accessing services or diagnosed by a GP with a mental health problem) is £2,085, and the economic cost relating to lost earnings is £9,311 (2007-08 prices; see pp.15 and 21).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 entry for depression is provided below.</t>
  </si>
  <si>
    <t>This is the average annual fiscal cost of service provision per adult suffering from anxiety disorders (these include generalised anxiety disorder, agoraphobia, social phobia, panic disorder and obsessive compulsive disorder).  In addition, the economic value quoted relates to lost earnings; other social costs (e.g. from reduced well-being) are not monetised in the King's Fund report.  As shown in the constituent measures below, the quoted value comprises fiscal costs to the NHS (95%) and local authority (5%).  A red flag has been applied, in recognition of the age of the data (2007-08).  Note that this average has been calculated across all adults suffering from anxiety disorders, regardless of whether they accessed service provision or not.  The source quotes research that found that around a half (51%) of people with anxiety disorders are not in contact with services - the average fiscal cost for adults suffering from anxiety disorders who are in treatment or whose condition is recognised (e.g. by their GP) is £1,104, and the economic cost relating to lost earnings is £1,298 (2007-08 prices; see pp.35 and 39).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 entry for anxiety is provided below.</t>
  </si>
  <si>
    <t>This is the average annual fiscal cost of service provision per adult suffering from schizophrenic disorders.  In addition, the economic value quoted comprises lost earnings (£8,476 per person on average, at 2007-08 prices) and costs falling to informal carers (an estimated £2,655 per person); other social costs (e.g. from reduced well-being) are not monetised in the King's Fund report.  As shown in the constituent measures below, the quoted value comprises fiscal costs to the NHS (76%), local authority (17%) and criminal justice system (7%).  A red flag has been applied, in recognition of the age of the data (2007-08).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 entry for schizophrenia is provided below.</t>
  </si>
  <si>
    <t>This is the average annual fiscal cost of service provision per adult suffering from bipolar disorder and related conditions (mood disorders including mania and hypomania).  In addition, the economic value quoted comprises lost earnings (£3,132 per person on average, at 2007-08 prices) and costs falling to informal carers (an estimated £403 per person); other social costs (e.g. from reduced well-being) are not monetised in the King's Fund report.  As shown in the constituent measures below, the quoted value comprises fiscal costs to the NHS (82%) and local authority (18%).  A red flag has been applied, in recognition of the age of the data (2007-08).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 entry for bipolar disorder is provided below.</t>
  </si>
  <si>
    <t>This is the average annual fiscal cost of service provision per adult suffering from eating disorders (anorexia nervosa and bulimia nervosa).  In addition, the economic value quoted relates to lost earnings; other social costs (e.g. from reduced well-being) are not monetised in the King's Fund report.  All (100%) of the fiscal cost quoted falls to the NHS, comprising inpatient and outpatient care.  A red flag has been applied, in recognition of the age of the data (2007-08).  Note that this average has been calculated across all adults with eating disorders, regardless of whether they accessed service provision or not.  Many people with anorexia nervosa and bulimia nervosa are not in contact with mental health services (the source estimates contact rates of 34% of all people with anorexia nervosa and 5.8 per cent for people with bulimia nervosa; see p.85).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The entry for anorexia is provided below.</t>
  </si>
  <si>
    <t>This is the average annual fiscal cost of service provision per person suffering from any type of mental health disorder, including dementia - it is the average across all age groups, including children, adolescents and adults (but excluding children under five years of age).  In addition, the economic value quoted comprises lost earnings (£3,019 per person on average, at 2007-08 prices) and costs falling to informal carers (an estimated £736 per person); other social costs (e.g. from reduced well-being) are not monetised in the King's Fund report.  As shown in the constituent measures below, the cost comprises fiscal costs to the local authority (56%), NHS (43%)  and criminal justice system (1%).  A red flag has been applied, in recognition of the age of the data (2007-08).  The high cost of service provision for people suffering from dementia, allied with high prevalence of the condition, has a significant impact on the average figure quoted here - see the related subsidiary and constituent cost lines for average costs excluding dementia.
Note that more recent entries for a number of mental health conditions have been sourced from the London School of Economic's 2022 publication 'The economic case for investing in the prevention of mental health conditions in the UK', but they provide an overall public value cost that is not disaggregated into its fiscal, economic and social components.  Entries for specific mental health conditions are provided in the mental health rows below, and also under some of the listed conditions above.</t>
  </si>
  <si>
    <t>Updated with average cost derived from ASC-FR 2020-21</t>
  </si>
  <si>
    <t>This is an average weekly cost for residential care for elderly people, taken from data on social services expenditure alongside data on social services activity.  Residential care costs can vary widely depending on the level of care required (which is dependent upon the needs of the individual), but practitioners consulted as part of the unit cost database development process considered this to be a reasonable figure for an average level of care.  As detailed below, the overall cost quoted in the Unit Cost of Health and Social Care publication is considerably more expensive, and is indicative of a higher level of care - it has been retained in the database both to highlight the variance in values, and because it gives constituent costs that show how the overall cost has been derived (it includes wider costs relating to buildings and land, which are not included in the local authority revenue cost detailed here).  
More affluent individuals will pay for some / all of their residential care costs - this element is an economic cost to the individual, with the fiscal cost representing the care costs paid for by the local authority.  A range of proportions that split out the fiscal and economic elements are quoted in the literature; we have followed the approach used in the Department of Health's Dementia Care Commissioning Toolkit, which suggests allocating two-thirds of residential care costs as a fiscal cost falling to local authorities, and the remaining third as an economic cost falling to individual self-funders.  
Note that there can be local variance in the way that ASC-FR returns made by local authorities (adult social services) to NHS Digital are completed, hence the 'amber' flag for this cost line - local authorities can experience difficulty in attributing expenditure to the correct categories (e.g. differentiating between 'own provision' and 'provision by others', or between nursing and residential care placements).  Users are advised to seek feedback from local authority finance personnel to assess the extent to which the unit cost given compares with local experience, and are recommended to derive a specific local cost where possible.</t>
  </si>
  <si>
    <t>Integrated Care System</t>
  </si>
  <si>
    <t>What is NHS-funded nursing care? (NHS website, accessed July 2022)</t>
  </si>
  <si>
    <t>Updated with 2022/23 value</t>
  </si>
  <si>
    <t>Updated with 2020/21 cost</t>
  </si>
  <si>
    <t>Adult Social Care Activity and Finance Report, England - 2020-21, Reference Data Tables, Table 51</t>
  </si>
  <si>
    <t>Updated with entry from ASC-FR 2020-21, and fiscal / economic splits introduced</t>
  </si>
  <si>
    <t>Adult Social Care Activity and Finance Report, England - 2020-21, Reference Data Tables, Table 53</t>
  </si>
  <si>
    <t>Adult Social Care Activity and Finance Report, England - 2020-21, Reference Data Tables, Table 52</t>
  </si>
  <si>
    <t>Adult Social Care Activity and Finance Report, England - 2020-21, Reference Data Tables, Table 52 (and NHS website)</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</si>
  <si>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9.6 p/KWh and 12.4 p/KWh respectively. Data table 9 of the source material also provides estimates of the LRVC of domestic electricity between 2010-2100. As the LRVC of energy is expected to change over time, any modelling which considers changes in energy usage across multiple years should use the corresponding values from Table 9. </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</si>
  <si>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7.2 p/KWh and 11.1 p/KWh respectively. Data table 9 of the source material also provides estimates of the LRVC of commercial electricity between 2010-2100. As the LRVC of energy is expected to change over time, any modelling which considers changes in energy usage across multiple years should use the corresponding values from Table 9. </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</si>
  <si>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7.2 p/KWh and 10.7 p/KWh respectively. Data table 9 of the source material also provides estimates of the LRVC of industrial electricity between 2010-2100. As the LRVC of energy is expected to change over time, any modelling which considers changes in energy usage across multiple years should use the corresponding values from Table 9.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</si>
  <si>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Rebound effects which result in an observed reduction in energy usage that is lower than anticipated, due to an increase in domestic comfort, are known as "comfort taking"  (most commonly in the form of a warmer home).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20.1 p/KWh and 22.9 p/KWh respectively. As the retail price of energy is expected to change over time, any modelling which considers changes in energy usage across multiple years should use the corresponding values from Table 4.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</si>
  <si>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12.9 p/KWh and 16.9 p/KWh respectively. As the retail price of energy is expected to change over time, any modelling which considers changes in energy usage across multiple years should use the corresponding values from Table 4.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</si>
  <si>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11.4 p/KWh and 14.9 p/KWh respectively. As the retail price of energy is expected to change over time, any modelling which considers changes in energy usage across multiple years should use the corresponding values from Table 4. </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</si>
  <si>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1.34 p/KWh and 287 p/KWh respectively. Data table 10 of the source material also provides estimates of the LRVC of domestic gas between 2010-2100. As the LRVC of energy is expected to change over time, any modelling which considers changes in energy usage across multiple years should use the corresponding values from Table 10. </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</si>
  <si>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1.27 p/KWh and 2.80 p/KWh respectively. Data table 10 of the source material also provides estimates of the LRVC of commercial gas between 2010-2100. As the LRVC of energy is expected to change over time, any modelling which considers changes in energy usage across multiple years should use the corresponding values from Table 10. </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</si>
  <si>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1.22 p/KWh and 2.75 p/KWh respectively. Data table 10 of the source material also provides estimates of the LRVC of industrial gas between 2010-2100. As the LRVC of energy is expected to change over time, any modelling which considers changes in energy usage across multiple years should use the corresponding values from Table 10.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</si>
  <si>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Rebound effects which result in an observed reduction in energy usage that is lower than anticipated, due to an increase in domestic comfort, are known as "comfort taking"  (most commonly in the form of a warmer home).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3.89 p/KWh and 5.48 p/KWh. As the retail price of energy is expected to change over time, any modelling which considers changes in energy usage across multiple years should use the corresponding values from Table 5.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</si>
  <si>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Rebound effects which result in an observed reduction in energy usage that is lower than anticipated, due to an increase in domestic comfort, are known as "comfort taking"  (most commonly in the form of a warmer home).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2.40 p/KWh and 4.12 p/KWh respectively. As the retail price of energy is expected to change over time, any modelling which considers changes in energy usage across multiple years should use the corresponding values from Table 5.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</si>
  <si>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Rebound effects which result in an observed reduction in energy usage that is lower than anticipated, due to an increase in domestic comfort, are known as "comfort taking"  (most commonly in the form of a warmer home).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1.70 p/KWh and 3.41 p/KWh respectively. As the retail price of energy is expected to change over time, any modelling which considers changes in energy usage across multiple years should use the corresponding values from Table 5. </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</si>
  <si>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29.3p/litre and 58.5p/litre respectively. Data table 13 of the source material also provides estimates of the LRVC of petrol between 2010-2100. As the LRVC of energy is expected to change over time, any modelling which considers changes in energy usage across multiple years should use the corresponding values from Table 13.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</si>
  <si>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114.1p/litre and 149.2p/litre respectively. As the retail price of energy is expected to change over time, any modelling which considers changes in energy usage across multiple years should use the corresponding values from Table 8. </t>
  </si>
  <si>
    <t>The damage costs quoted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The value quoted here reflects the average damage cost of a petrol fuelled car across all areas of the UK. The source document provides supplementary regional figures. They are as follows: Central London (7.72), Inner London (7.93), Outer London (4.20), Inner Conurbation (2.88), Outer Conurbation (1.71), Urban Big (1.76), Urban Large (1.46), Urban Medium (1.17), Urban Small (0.96) and Transport Rural (0.50) - all values are provided in p/litre.</t>
  </si>
  <si>
    <t xml:space="preserve">Changes in energy consumption impact the use of resources in the production, transportation, and final supply and use of energy. In order to value these impacts, analysts should use the long-run variable cost (LRVC) of energy supply. The LRVC is used instead of the retail energy price, because energy prices include: (i)  fixed costs that will not change in the long run with a small sustained change in energy use, (ii) carbon costs, since these are valued separately, and (iii) taxes, margins, and other components which reflect transfers between groups in society. 
The figure quoted here reflects the central estimate; the low and high estimates are 30.1p/litre and 63.6p/litre respectively. Data table 13 of the source material also provides estimates of the LRVC of DERV between 2010-2100. As the LRVC of energy is expected to change over time, any modelling which considers changes in energy usage across multiple years should use the corresponding values from Table 13. </t>
  </si>
  <si>
    <t xml:space="preserve">Proposals that improve energy efficiency (such as heating or lighting policies or projects) have the effect of reducing the overall amount of energy used. An immediate result will be a reduction in energy bills. This frees up funds which can be spent on energy or other goods and services. Any resulting increase in energy use is known as the “rebound effect".  As this represents an increase in welfare or quality of life for the recipient party it is best accounted for as social value. 
The retail price of energy should be used to value the direct rebound effects as this captures the gain in welfare (taking the retail price as a proxy for the consumer's willingness-to-pay for the marginal uplift in comfort). For actual changes in energy usage, please use the long-run variable cost (LRVC) quoted above. 
Analysts should consider the "direct" rebound effects of a project or policy; that is any incremental welfare benefit directly attributable to the proposals. There is no expectation that analysts will quantify indirect rebound effects - the second-degree effects of having increased levels of disposable income - as this is disproportionate in most appraisals.    
The figure quoted here reflects the central estimate provided by BEIS; the low and high estimates are 115.6p/litre and 155.8p/litre respectively. As the retail price of energy is expected to change over time, any modelling which considers changes in energy usage across multiple years should use the corresponding values from Table 8. </t>
  </si>
  <si>
    <t>The damage costs quoted here should be used if the Net Present Value (the benefits less the costs) of the air quality impacts are under £50m. Any proposals with an NPV above £50m should undertake the "impact pathway" approach using bespoke air quality impact valuation.
“Damage costs” are based on the impact pathway approach, but have been calculated using a range of representative emissions in order to estimate an average marginal effect for each additional tonne of gas introduced into the atmosphere. These primarily value health impacts though non-health impacts are also included. Damage costs are not linked to limit values being exceeded. 
The value quoted here reflects the average damage cost of a diesel fuelled car across all areas of the UK. The source document provides supplementary regional figures. They are as follows: Central London (61.88), Inner London (63.53), Outer London (33.64), Inner Conurbation (23.00), Outer Conurbation (13.67), Urban Big (14.11), Urban Large (11.65), Urban Medium (9.36), Urban Small (7.71) and Transport Rural (3.97) - all values are provided in p/litre.</t>
  </si>
  <si>
    <t xml:space="preserve">This is the estimated value of carbon equivalent emissions created through construction material usage. The value quoted here reflects the weighted average across a range of different types of construction materials. There is significant variation in the carbon emissions of different construction materials - this figure should only be used where the type of material is unknown. Otherwise, users should refer to the source material for the relevant conversion factors of different materials. 
Material use conversion values should be used to report on consumption of procured materials based on their origin (that is, comprised of primary material or recycled materials). For primary materials, these factors cover the extraction, primary processing, manufacturing and transporting materials to the point of sale, not the materials in use. For secondary materials, the factors cover sorting, processing, manufacturing and transporting to the point of sale, not the materials in use. 
This value is for primary material production (materials are made from virgin stock) based on a conversion factor of 79.97 kgCO2e per tonne, which has been monetised using the value of carbon. 
</t>
  </si>
  <si>
    <t xml:space="preserve">This is the estimated value of carbon equivalent emissions created through plastic material usage. The value quoted here reflects the weighted average across a range of different types of plastic. There is significant variation in the carbon emissions of different plastic types - this figure should only be used where the type of plastic is unknown. Otherwise, users should refer to the source material for the relevant conversion factors of different types. 
Material use conversion values should be used to report on consumption of procured materials based on their origin (that is, comprised of primary material or recycled materials). For primary materials, these factors cover the extraction, primary processing, manufacturing and transporting materials to the point of sale, not the materials in use. For secondary materials, the factors cover sorting, processing, manufacturing and transporting to the point of sale, not the materials in use. 
This value is for primary material production (materials are made from virgin stock) based on a conversion factor of 3,116 kgCO2e per tonne, which has been monetised using the value of carbon. The conversion factor for open-loop source (the materials are made from recycled content, where the previous product was different to the current product) is 600 kgCO2e, and for closed loop source (made from recycled content, but where the previous product is the same as the current product) is 2,326 kgCO2e.
</t>
  </si>
  <si>
    <t>This is the estimated value of carbon equivalent emissions created through the disposal of plastic material. The value quoted reflects the weighted average across a range of different types of plastic, which vary significantly. This figure should only be used when the type of plastic being disposed is unknown. Otherwise, the user should refer to the source material for the relevant conversion factor for each type of plastic.
Please note, these values cannot be used to determine the relative lifecycle merit of different waste management options. This is because the benefits of energy recovery and recycling are attributed to the user of the recycled materials, not the producer of the waste. For landfill, the factors in the tables include collection, transportation and landfill emissions (‘gate to grave’). For combustion and recycling, the factors consider transport to an energy recovery or materials reclamation facility only.
This value is for material which is sent to landfill, using a conversion factor of 8.9 kgCO2e that has been monetised in keeping with the value of carbon. The conversion factors for open-loop source (the materials are made from recycled content, where the previous product was different to the current product); closed loop source (made from recycled content, but where the previous product is the same as the current product); and combustion (energy is recovered from the waste through incineration and subsequent generation of electricity) are 21.2 kgCO2e.</t>
  </si>
  <si>
    <t xml:space="preserve">This is the estimated value of carbon equivalent emissions created through the disposal of municipal waste generated by domestic properties.  Please note, these values cannot be used to determine the relative lifecycle merit of different waste management options. This is because the benefits of energy recovery and recycling are attributed to the user of the recycled materials, not the producer of the waste. For landfill, the factors in the tables include collection, transportation and landfill emissions (‘gate to grave’). For combustion and recycling, the factors consider transport to an energy recovery or materials reclamation facility only.
This value is for material which is sent to landfill, using a conversion factor of 446.3 kgCO2e that has been monetised in keeping with the value of carbon. The conversion factors for open-loop source (the materials are made from recycled content, where the previous product was different to the current product); closed loop source (made from recycled content, but where the previous product is the same as the current product); combustion (energy is recovered from the waste through incineration and subsequent generation of electricity); and anaerobic digestion (energy is recovered from waste using anaerobic digestion) are 21.3 kgCO2e.
The source also provides conversion factors for other types of organic waste disposed off at landfill which are as follows - food and drink waste (626.9 kgCO2e); garden waste (578.9 kgCO2e); and mixed food and garden waste (587.3 kgCO2e). </t>
  </si>
  <si>
    <t xml:space="preserve">This is the estimated value of carbon equivalent emissions created through the disposal of commercial waste generated by business or industrial operations properties.  Please note, these values cannot be used to determine the relative lifecycle merit of different waste management options. This is because the benefits of energy recovery and recycling are attributed to the user of the recycled materials, not the producer of the waste. For landfill, the factors in the tables include collection, transportation and landfill emissions (‘gate to grave’). For combustion and recycling, the factors consider transport to an energy recovery or materials reclamation facility only.
This value is for material which is sent to landfill, using a conversion factor of 467 kgCO2e that has been monetised in keeping with the value of carbon. The conversion factors for  closed loop source (made from recycled content, but where the previous product is the same as the current product); combustion (energy is recovered from the waste through incineration and subsequent generation of electricity); and anaerobic digestion (energy is recovered from waste using anaerobic digestion) are 21.3 kgCO2e.
</t>
  </si>
  <si>
    <t xml:space="preserve">This is the estimated value of carbon equivalent emissions created through the usage of water delivered through the mains supply network. It has been valued using a conversion factor of 149 kgCO2e per million litres, and has been monetised in keeping with the value of carbon. To provide a complete overview of water usage, this should be referred to alongside the "water treatment" value below. 
</t>
  </si>
  <si>
    <t xml:space="preserve">This is the estimated value of carbon equivalent emissions created through the usage of water treatment of water returned to the sewage system through the main drains. It has been valued using a conversion factor of 272 kgCO2e per million litres, and has been monetised in keeping with the value of carbon. To provide a complete overview of water usage, this should be referred to alongside the "water supply" value above. 
</t>
  </si>
  <si>
    <t>This cost represents the labour cost per working hour for a hospital-based dietitian / speech language therapist at Band 5.  The source gives associated costs for the same roles at different bands, all quoted at 2020/21 prices: Band 4, £35; Band 6, £53; Band 7, £63; Band 8a, £73; Band 8b, £87; Band 8c, £103; Band 8d, £123; Band 9, £143.  
The role descriptions for different hospital-based scientific and professional staff depend on the pay band, but the sources lists a range of levels (see p.133) including: Clinical Support Worker; Technician; Assistant / Associate Practitioner; Specialist; Advanced; Principal; Consultant; Professional Manager; Lead / Head of Service.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</si>
  <si>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radiographer at Band 5.  The source gives associated costs for the same roles at different bands, all quoted at 2020/21 prices: Band 4, £38; Band 6, £55; Band 7, £66; Band 8a, £76; Band 8b, £89; Band 8c, £105; Band 8d, £125; Band 9, £146.  
The role descriptions for different hospital-based scientific and professional staff depend on the pay band, but the sources lists a range of levels (see p.133) including: Clinical Support Worker; Technician; Assistant / Associate Practitioner; Specialist; Advanced; Principal; Consultant; Professional Manager; Lead / Head of Service.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</si>
  <si>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This cost represents the labour cost per working hour for a hospital-based physiotherapist / occupational therapist at Band 5.  The source gives associated costs for the same roles at different bands, all quoted at 2020/21 prices: Band 4, £36; Band 6, £53; Band 7, £64; Band 8a, £74; Band 8b, £87; Band 8c, £103; Band 8d, £123; Band 9, £144.  
The role descriptions for different hospital-based scientific and professional staff depend on the pay band, but the sources lists a range of levels (see p.133) including: Clinical Support Worker; Technician; Assistant / Associate Practitioner; Specialist; Advanced; Principal; Consultant; Professional Manager; Lead / Head of Service.
The costs are derived from salary costs (including on-costs such as national insurance and pension contributions), plus an element to account for a proportion of overheads (e.g. management, admin, travel, supplies and services, utilities) and capital costs.  Section V of the source document (p.152) contains detailed information on qualifications: to calculate the cost per hour including qualifications, the relevant expected annual (discounted) training investment (p.152) should be divided by the number of working hours per year (p.138), then added to the entry in column H.</t>
  </si>
  <si>
    <t>Consultant (medical) - cost per working hour (excluding qualification costs)</t>
  </si>
  <si>
    <t>This cost represents the labour cost per contract hour for a medical consultant providing care in a hospital setting; additional costs for qualifications can be found in Section V of the source document (pg.135). The costs are derived from salary costs (including on-costs such as national insurance and pension contributions), plus an element to account for a proportion of overheads (management, admin, travel, telephone, supplies and services, utilities) and capital costs.  The source also provides guidance on the use of London and non-London multipliers (see p.140).</t>
  </si>
  <si>
    <t>This cost represents the labour cost per contract hour for an NHS psychiatric consultant; additional costs for qualifications can be found in Section V of the source document (pg.135). The costs are derived from salary costs (including on-costs such as national insurance and pension contributions), plus an element to account for a proportion of overheads (management, admin, travel, telephone, supplies and services, utilities) and capital costs.  The source also provides guidance on the use of London and non-London multipliers (see p.140).</t>
  </si>
  <si>
    <t>Child and Adolescent Mental Health Service (CAMHS) admitted patient - average cost per bed day for children and adolescents</t>
  </si>
  <si>
    <t>Child and Adolescent Mental Health Service (CAMHS) outpatient attendance - average cost per attendance for children and adolescents</t>
  </si>
  <si>
    <t>Child and Adolescent Mental Health Service (CAMHS) - average cost per patient contact, day care facilities (regular attendance)</t>
  </si>
  <si>
    <t>Unit Costs of Health &amp; Social Care 2020 (Curtis, 2020), p.70</t>
  </si>
  <si>
    <t>Child and Adolescent Mental Health (CAMHS) teams provide services for children and young people with particular mental health problems who require specific types of intervention within a defined geographical area.  The teams are typically staffed by clinical psychologists, educational psychologists and other therapists, although they can comprise primary mental health workers with a focus on psychological therapies.  This is the average cost per patient contact for regular attendance at day care facilities, originally drawn from NHS Improvement, Reference Costs 2018/19, and uprated to 2019/20 in the 2020 Unit Costs of Health and Social Care publication.</t>
  </si>
  <si>
    <t>Replacement for previous CAMHS entries taken from the 2017 Unit Costs of Health and Social Care publication</t>
  </si>
  <si>
    <t>Child and Adolescent Mental Health Service (CAMHS) - average cost per patient contact, community contact</t>
  </si>
  <si>
    <t>Child and Adolescent Mental Health (CAMHS) teams provide services for children and young people with particular mental health problems who require specific types of intervention within a defined geographical area.  The teams are typically staffed by clinical psychologists, educational psychologists and other therapists, although they can comprise primary mental health workers with a focus on psychological therapies.  This is the average cost per patient for community contact, originally drawn from NHS Improvement, Reference Costs 2018/19, and uprated to 2019/20 in the 2020 Unit Costs of Health and Social Care publication.
A cost of £252 per patient is also provided for community contact, crisis resolution, home treatment (2019/20 prices).</t>
  </si>
  <si>
    <t>Child and Adolescent Mental Health Service (CAMHS) - average cost per patient contact, admitted patients, psychiatric intensive care</t>
  </si>
  <si>
    <t>Child and Adolescent Mental Health (CAMHS) teams provide services for children and young people with particular mental health problems who require specific types of intervention within a defined geographical area.  The teams are typically staffed by clinical psychologists, educational psychologists and other therapists, although they can comprise primary mental health workers with a focus on psychological therapies.  This is the average cost per patient contact for patients admitted to hospital for psychiatric intensive care provision, originally drawn from NHS Improvement, Reference Costs 2018/19, and uprated to 2019/20 in the 2020 Unit Costs of Health and Social Care publication.</t>
  </si>
  <si>
    <t>Care homes for adults (18-64) requiring long-term mental health support  - average cost per week</t>
  </si>
  <si>
    <t>Local authority social services day care for adults (18-64) requiring mental health support - average cost per client attendance</t>
  </si>
  <si>
    <t>Private and voluntary sector day care for adults (18-64) requiring mental health support - average cost per client attendance</t>
  </si>
  <si>
    <t>This is the average cost per session for people with mental health problems using day care delivered by a private or voluntary sector provider.  Note that this cost is for patients who are fully paid for by the local authority, whereas some patients may be fully or partly self-funding (in which case the fiscal cost should be reduced and the individual's contribution accounted for as an economic cost), and others part-funded under joint local authority-NHS arrangements.  The cost is derived from day care and capital costs (excluding capital costs, the cost per attendance is £29).  The source quotes the median cost per client week as £114 and the mean as £100, including capital costs.  In addition, it details related costs per client hour (£9) and per client session lasting 3.5 hours (£33).  All costs in this cell are quoted at 2020-21 prices.  Commentary in the source details an assumption that clients attend day care for an average three sessions per week, which is the number of sessions recommended as part of a total recovery programme.
All costs quoted are at 2020-21 prices (unless stated otherwise).</t>
  </si>
  <si>
    <t>GP - cost per hour, General Medical Services activity (excluding qualification costs, but including direct care staff costs)</t>
  </si>
  <si>
    <r>
      <t xml:space="preserve">This is the average cost for a GP per hour of General Medical Services (GMS) activity; it includes costs relating to direct care staff (practice nurses), but excludes qualification costs.  The source quotes the same cost including qualification costs, at £158 per hour.  Related costs are given per hour of patient contact (£217, or £255 including qualification costs), and per minute of patient contact (£3.60 or £4.30 including qualification costs); both include direct care staff costs.  Data are also given excluding direct care staff costs: the average cost for a GP per hour of GMS activity becomes £115 (£140 including qualification costs), per hour of patient contact £184 (£223 including qualification costs), and per minute of patient contact £3.10 (£3.70 including qualification costs).  
The costs are derived from practice salary costs, including administrative and clerical staff (and including on-costs such as national insurance and pension contributions), premises costs and business overheads, and training and capital costs (all costs are clearly presented in a summary table on p.111 of the source document, with related data and commentary on pp.110 and 112)
All costs quoted here are at </t>
    </r>
    <r>
      <rPr>
        <b/>
        <sz val="10"/>
        <rFont val="Arial"/>
        <family val="2"/>
      </rPr>
      <t>2020-21</t>
    </r>
    <r>
      <rPr>
        <sz val="10"/>
        <rFont val="Arial"/>
        <family val="2"/>
      </rPr>
      <t xml:space="preserve"> prices (unless stated otherwise).</t>
    </r>
  </si>
  <si>
    <t>GP contact - cost per face-to-face (surgery) consultation with patients, average 9.22 minutes (excluding qualification costs, but including direct care staff costs)</t>
  </si>
  <si>
    <t>This is the average cost for a GP per face-to-face (surgery) consultation where patient contact lasts an average 9.22 minutes; it includes costs relating to direct care staff (practice nurses), but excludes qualification costs (including these increases the cost to £39 per consultation).  Data are also quoted excluding direct care staff costs: the average cost for an 9.22 minute consultation becomes £28 (£34 including qualification costs).  The costs are derived from practice salary costs, including administrative and clerical staff (and including on-costs such as national insurance and pension contributions), premises costs and business overheads, and training and capital costs.  All costs are quoted here at 2020-21 prices, and are clearly presented in a summary table on p.111 of the source document, with related data and commentary on pp.110 and 112.
The 2014 Unit Costs publication also gives related costs for longer consultations, where patient contact lasts an average 17.2 minutes (with direct care staff £56 or £67 including qualification costs, and £50 without direct care staff or £62 including qualification costs, all at 2013-14 prices).</t>
  </si>
  <si>
    <t>GP - annual cost (excluding qualification costs, but including travel)</t>
  </si>
  <si>
    <t>This is the average annual cost for a GP, and includes travel costs and costs relating to direct care staff (practice nurses).  The source quotes the same cost including qualification costs, at £281,345 per year (all costs quoted in this cell are given at 2020-21 prices). Related costs are given excluding travel costs, at £234,989 per year, or £280,245 including qualification costs.  Data are also given excluding direct care staff costs: the average annual cost for a GP including travel costs becomes £205,488 (£250,744 including qualification costs), and excluding travel costs £204,388 (£249,644 including qualification costs).  The costs are derived from practice salary costs, including administrative and clerical staff (and including on-costs such as national insurance and pension contributions), premises costs and business overheads, and training and capital costs.  All costs are clearly presented in a summary table on p.111 of the source document, with related data and commentary on p.110 and p.112.
All costs quoted are at 2020-21 prices (unless stated otherwise).</t>
  </si>
  <si>
    <t>Unit Costs of Health &amp; Social Care 2021 (Jones, 2021). p 114</t>
  </si>
  <si>
    <t>Updated with 2019/20 costs (from the 2021 Unit Costs of Health and Social Care publication)</t>
  </si>
  <si>
    <t>This is the average cost per GP consultation of prescriptions issued; it represents the actual cost of the prescription, which is the net ingredient cost less the assumed average discount plus the container allowance and on-cost for appliance contractors.  The source also quotes the cost without the discount (but including the container allowance), at an average £33.10 per consultation (2020-21 prices).  as net ingredient cost of prescriptions alone (i.e. excluding discount, container allowance and on-costs for appliance contractors), ).  Note the average costs are derived by dividing the number of prescriptions by the number of GP consultations, so will include consultations where prescriptions were not issued.  All costs are clearly presented in a summary table on p.111 of the source document, with related data and commentary on p.112.</t>
  </si>
  <si>
    <t>Nurse, GP practice - cost per hour (excluding qualification costs)</t>
  </si>
  <si>
    <t>This is the average cost per hour for a nurse based in a GP practice; including qualification costs, it becomes £44 per hour (also at 2020-21 prices).  The costs are derived from salary costs (including on-costs such as national insurance and pension contributions), plus an element to account for a proportion of overheads (e.g. management, admin, travel, telephone, supplies and services, utilities) and capital costs.  The source also provides information about deriving a London multiplier (see p.109 for details).</t>
  </si>
  <si>
    <t>Unit Costs of Health &amp; Social Care 2020 (Curtis, 2020). p 114</t>
  </si>
  <si>
    <t>This is the cost per GP-led telephone triage.  The cost quoted here excludes 'other costs' (training costs and the cost of computer decision support software).  With these included, the cost becomes £15.52.
The source also provides the annual cost of GP-led triage (£253,405 or £254,362 including training, etc.) and the cost per hour of face-to-face contact (£232, or £235 including training).
All costs quoted are at 2019-20 prices (unless stated otherwise).</t>
  </si>
  <si>
    <t>This is the cost per nurse-led telephone triage.  The cost quoted here excludes 'other costs' (training costs and the cost of computer decision support software). With these included, the cost becomes £7.80 per intervention.
The source also provides the annual cost of nurse-led triage (£69,864 or £84,386 with other costs) and the cost per hour of face-to-face contact (£58, or £75 with other costs).
All costs quoted are at 2019-20 prices (unless stated otherwise).</t>
  </si>
  <si>
    <t>GP-led telephone triage - cost per intervention (excluding training and other costs)</t>
  </si>
  <si>
    <t>Nurse-led telephone triage - cost per intervention (excluding training and other costs)</t>
  </si>
  <si>
    <r>
      <t xml:space="preserve">This is the average cost per session for people with mental health problems using local authority own-provision social services day care.  Note that this cost is for patients who are fully paid for by the local authority, whereas some patients may be fully or partly self-funding (in which case the fiscal cost should be reduced and the individual's contribution accounted for as an economic cost), and others part-funded under joint local authority-NHS arrangements.  The cost is derived from day care and capital costs (excluding capital costs, the cost per attendance is £30 per client).  The source quotes the median and mean cost per client week as £113 and £117 respectively, including capital costs.  In addition, it details related costs per client hour (£9.48) and per client session lasting 3.5 hours (£33; all quoted costs are </t>
    </r>
    <r>
      <rPr>
        <b/>
        <sz val="10"/>
        <rFont val="Arial"/>
        <family val="2"/>
      </rPr>
      <t>at 2020-21  prices</t>
    </r>
    <r>
      <rPr>
        <sz val="10"/>
        <rFont val="Arial"/>
        <family val="2"/>
      </rPr>
      <t xml:space="preserve">).  The source commentary details an assumption that clients attend day care for an average three sessions per week, which is the number of sessions recommended as part of a total recovery programme.
All costs quoted are at </t>
    </r>
    <r>
      <rPr>
        <b/>
        <sz val="10"/>
        <rFont val="Arial"/>
        <family val="2"/>
      </rPr>
      <t>2020-21 prices</t>
    </r>
    <r>
      <rPr>
        <sz val="10"/>
        <rFont val="Arial"/>
        <family val="2"/>
      </rPr>
      <t xml:space="preserve">  (unless stated otherwise).</t>
    </r>
  </si>
  <si>
    <t>Community-based allied health professionals, Band 5: cost per working hour (excluding qualification costs)</t>
  </si>
  <si>
    <t>Unit Costs of Health &amp; Social Care 2021 (Jones, 2021), p.104</t>
  </si>
  <si>
    <t>This is the average cost per hour for a Band 5 community-based allied health professional.  This description can include Band 5 community-based scientific and professional staff from the following types of discipline, as listed on p.102 of the source: physiotherapist; occupational therapist; speech and language therapist; podiatrist; clinical psychology assistant practitioner (higher level); counsellor (entry level).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</si>
  <si>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Community-based allied health professionals, Band 4: cost per working hour (excluding qualification costs)</t>
  </si>
  <si>
    <t>This is the average cost per hour for a Band 4 community-based allied health professional.  This description can include Band 4 community-based scientific and professional staff from the following types of discipline, as listed on p.102 of the source: occupational therapy technician; speech and language therapy assistant/associate practitioner,; podiatry technician; clinical psychology assistant practitioner; pharmacy technician.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</si>
  <si>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Community-based allied health professionals, Band 6: cost per working hour (excluding qualification costs)</t>
  </si>
  <si>
    <t>This is the average cost per hour for a Band 6 community-based allied health professional.  This description can include Band 6 community-based scientific and professional staff from the following types of discipline, as listed on p.102 of the source: physiotherapist specialist; occupational therapist specialist; speech and language therapist specialist; podiatrist specialist; clinical psychology trainee; counsellor; pharmacist; arts
therapist (entry level).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</si>
  <si>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Community-based allied health professionals, Band 7: cost per working hour (excluding qualification costs)</t>
  </si>
  <si>
    <t>This is the average cost per hour for a Band 7 community-based allied health professional.  This description can include Band 7 community-based scientific and professional staff from the following types of discipline, as listed on p.102 of the source: physiotherapist (advanced); specialist physiotherapist (respiratory problems); specialist physiotherapist (community); physiotherapy team manager; speech and language therapist (advanced); podiatrist (advanced); podiatry team manager; clinical psychologist; counsellor (specialist); arts therapist.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</si>
  <si>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Community-based allied health professionals, Band 8a: cost per working hour (excluding qualification costs)</t>
  </si>
  <si>
    <t>This is the average cost per hour for a Band 8a community-based allied health professional.  This description can include Band 8a community-based scientific and professional staff from the following types of discipline, as listed on p.102 of the source: physiotherapist principal; occupational therapist principal; speech and language therapist principal; podiatrist principal.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</si>
  <si>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Community-based allied health professionals, Band 8b: cost per working hour (excluding qualification costs)</t>
  </si>
  <si>
    <t>This is the average cost per hour for a Band 8b community-based allied health professional.  This description can include Band 8b community-based scientific and professional staff from the following types of discipline, as listed on p.102 of the source: physiotherapist consultant; occupational therapist consultant; clinical psychologist principal; speech and language therapist principal; podiatric consultant (surgery); arts therapist principal.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</si>
  <si>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Community-based allied health professionals, Band 8c: cost per working hour (excluding qualification costs)</t>
  </si>
  <si>
    <t>This is the average cost per hour for a Band 8c community-based allied health professional.  This description can include Band 8c community-based scientific and professional staff from the following types of discipline, as listed on p.102 of the source: counsellor professional manager; counsellor consultant;  consultant speech and language therapist.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</si>
  <si>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Community-based allied health professionals, Band 8d: cost per working hour (excluding qualification costs)</t>
  </si>
  <si>
    <t>Community-based allied health professionals, Band 9: cost per working hour (excluding qualification costs)</t>
  </si>
  <si>
    <t>This is the average cost per hour for a Band 9 community-based allied health professional.  This description can include Band 9 community-based scientific and professional staff from the following types of discipline, as listed on p.102 of the source: clinical psychologist consultant (professional); lead/head of psychology services; podiatric consultant (surgery); head of service.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</si>
  <si>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This is the average cost per hour for a Band 8d community-based allied health professional.  This description can include Band 8d community-based scientific and professional staff from the following types of discipline, as listed on p.102 of the source: clinical psychologist consultant; podiatric consultant (surgery); head of arts therapies; arts therapies consultant.
The costs are derived from salary costs (including on-costs such as national insurance and pension contributions), plus an element to account for a proportion of overheads (e.g. management, admin, travel, telephone, supplies and services, utilities) and capital costs. Section V of the source document (p.152) contains detailed information on training costs.  To calculate the cost per hour including qualifications, the appropriate expected annual cost should be divided by the number of working hours.  Information on the application of London / non-London multipliers is given on p.103.</t>
  </si>
  <si>
    <t>Unit Costs of Health &amp; Social Care 2021 (Curtis, 2021). p 115</t>
  </si>
  <si>
    <t>Unit Costs of Health &amp; Social Care 2021 (Curtis, 2021). p 116</t>
  </si>
  <si>
    <t xml:space="preserve">This is the average unit cost per hour of a performer-provider NHS Dentist. A performer-provider dentist holds a health service contract and also acts as a performer, delivering dental services themselves.
The source also provides the unit cost per hour of patient contact, at £197 (2019-20 prices). These costs are derived from a combination of remuneration, practice expenses, travel, capital costs and equipment costs. </t>
  </si>
  <si>
    <t>This is the average cost of community sexual health services for a HIV/AIDS specialist nursing worker, delivered face to face.  It is taken from the Unit Costs of Health and Social Care 2021 publication, but originally sourced from the 2019/20 NHS reference costs.
The source also quotes the relevant unit cost for non face to face consultants at £70 (at 2020-21 prices).</t>
  </si>
  <si>
    <t>Family planning clinic (consultant-led) - outpatient attendance</t>
  </si>
  <si>
    <t>New addition from the Unit Costs of Health and Social Care 2021 publication</t>
  </si>
  <si>
    <t>This is the average cost of an e-consultation, instigated by submission by a patient of an online form describing the nature of their problem. The cost is partly driven by the time needed for a GP to triage the e-consultation (5 minutes assumed, based on interviews with practice staff), and by the relatively high proportion of e-consultations that resulted in a face-to-face or telephone consultation with a GP.  The cost is an average, encompassing initial primary care actions in response to the e-consultation, along with further follow-up actions taken in the subsequent 30 days for some patients.  The source provides a range of constituent costs, including an average for all initial primary care actions, but excluding follow-up activity, of £38 (2020-21 prices).</t>
  </si>
  <si>
    <t>Average cost of a GP e-consultation, including initial and follow-up actions</t>
  </si>
  <si>
    <r>
      <t xml:space="preserve">Child into local authority foster care: overall cost (cost per week)
</t>
    </r>
    <r>
      <rPr>
        <i/>
        <sz val="10"/>
        <rFont val="Arial"/>
        <family val="2"/>
      </rPr>
      <t>Note: excluding social care support directly related to fostered children (see SS2.0.3), but including additional services including education (SS2.0.2)</t>
    </r>
  </si>
  <si>
    <t xml:space="preserve">See the comment against the headline line cost entry, SS2.0.  
Note that the source indicates that a London multiplier of 1.24 can be applied to the quoted cost. 
</t>
  </si>
  <si>
    <t>Child into local authority foster care (cost per week): boarding out allowances, administration and the cost of social worker / staff support to foster carers</t>
  </si>
  <si>
    <t>See the comment against the headline line cost entry, SS2.0.  This is the cost related to other services for fostered children, including education.  It excludes school spending and relates to additional local authority services to promote the education of looked-after children, for example virtual heads.</t>
  </si>
  <si>
    <t>Local authority own-provision residential care home for children - cost per week</t>
  </si>
  <si>
    <t>Unit Costs of Health &amp; Social Care 2021 (Jones, 2021), p.26</t>
  </si>
  <si>
    <t>This cost comprises the constituent elements detailed below, and is for local authority own-provision residential care for older people.  Previous editions of the source indicate that, if required, a London multiplier of 1.45 can be applied to the revenue costs (see constituent cost line below; all the costs quoted here are for out-of-London provision); a London multiplier is also given for the constituent costs relating to buildings / on-costs and land costs, of 2.09.  
The source also details: (i) personal living expenses costs of £25 per week, which is the Department for Work and Pensions (DWP) personal allowance for people in residential care or a nursing home, used as a proxy for personal consumption; and (ii) the cost of personal services, at £25 per week, comprising community nursing, GP services and other external services.  These sums are not included in the overall cost quoted here, nor in the constituent costs below, but can be added in if required.  Note that the aggregate cost is considerably above the headline cost for residential care for older people (SS7.0), and is considered by practitioners consulted as part of the unit cost database validation process to be for a high level of care - it is included both to highlight the potential range of values, and to indicate the type of constituent costs that make up the overall value.
See the comment cell for SS7.0 for the overall rationale behind the split between fiscal and economic values, which has been applied to the ongoing care costs (revenue) detailed under the constituent cost line SS7.1.3.  The same rationale does not apply to the building/land costs outlined under SS7.1.1 and SS7.1.2, which are treated solely as fiscal costs.
All costs quoted in this cell are at 2020-21 prices.</t>
  </si>
  <si>
    <t>This cost represents the large majority of the overall headline value quoted above.  A London multiplier of 1.45 can be applied to the figure quoted here, which is for out-of-London revenue costs (see previous editions of the source document).
The source notes that the median revenue cost estimate is taken from ASC-FR 2020/21.  Capital charges relating to buildings and on-costs have been deducted.  In comparison, the mean public value (total of the fiscal and economic cost) was £1,175 per week (of which, according to the methodology described in the comment against SS7.0, we assume the fiscal element is an estimated £783).
See the comment cell to the entry at SS7.0 for the rationale behind the split between fiscal and economic costs.
All costs quoted are at 2020-21 prices.</t>
  </si>
  <si>
    <t>Note from the source: based on the new-build and land requirements for local authority residential care establishments.  These allow for 57.3 square metres per person.  Capital costs have been annuitised over 60 years at a discount rate of 3.5%, declining to 3% after 30 years.
A London multiplier of 2.09 can be applied to the figure quoted here, which is for out-of-London costs (see previous editions of the source document).</t>
  </si>
  <si>
    <t>Note from the source: based on research by MHCLG.  The cost of land has been annuitised at 3.5% over 60 years, declining to 3% after 30 years.
A London multiplier of 2.09 can be applied to the figure quoted here, which is for out-of-London costs (see previous editions of the source document).</t>
  </si>
  <si>
    <t>Unit Costs of Health &amp; Social Care 2021 (Jones, 2021), p.130</t>
  </si>
  <si>
    <t>Reablement service - average cost per service user for 'functional' reablement</t>
  </si>
  <si>
    <t xml:space="preserve">The mean cost has been used, although the range of values is wide (£1,265 - £3,405) which has the potential to distort the mean (£2,256).  The source also provides an annuitised cost (and gives information on how this has been derived) - the mean annual equipment cost for a straight stair lift is £272.  The source also quotes data for a more complex stair lift: mean cost £5,538 (range of values £2,769 - £7,961, annuitised cost £660.
All costs quoted here are at 2019-20 prices.
</t>
  </si>
  <si>
    <t>The source quotes the mean cost, although the range of values is wide (£143 - £820).  The source also provides an annuitised cost (and gives information on how this has been derived) - the mean annual equipment cost for a simple ramp is £46.
All costs quoted are at 2019-20 prices.</t>
  </si>
  <si>
    <t>The source quotes the mean cost, although the range of values is wide (£20 - £119). The source also provides an annuitised cost (and gives information on how this has been derived) - the mean annual equipment cost for an external handrail is £6.  The source also quotes data for an internal handrail: mean cost £33 (range £12-£78), annuitised cost £4.
All costs quoted are at 2019-20 prices.</t>
  </si>
  <si>
    <t>Unit Costs of Health &amp; Social Care 2021 (Jones, 2021), p.84</t>
  </si>
  <si>
    <t>NHS wheelchair (powered) - cost per year</t>
  </si>
  <si>
    <t>The source provides a purchase price for powered wheelchairs of £1,604, which has been annuitised following the methodology it outlines.  Revenue costs (staff costs of maintenance, pressure relief) are £126 per year.  The source also comments that the range of purchase costs is very high for powered chairs (£1,000 to £5,000) - the quoted costs are an approximate mid-range figure, and specific information should be used where possible.  
All costs quoted are at 2020-21 prices.</t>
  </si>
  <si>
    <t>NHS wheelchair (active user) - cost per year</t>
  </si>
  <si>
    <t>NHS wheelchair (self- or attendant-propelled) - cost per year</t>
  </si>
  <si>
    <t>The source defines 'active users' as 'individuals who are permanently restricted to a wheelchair but are otherwise well'; they typically use a lighter type of wheelchair.  A purchase price is provided for (non-powered) wheelchairs that are suitable for active users of £802, which has been annuitised following the methodology outlined in the source.  Revenue costs (staff costs of maintenance, pressure relief) are £32 per year.  The source also comments that the range of purchase costs is high for active user chairs (£100 to £1,300) - the quoted costs are an approximate mid-range figure, and specific information should be used where possible.  
All costs quoted are at 2020-21 prices.</t>
  </si>
  <si>
    <t>The source provides a purchase price for self- or attendant-propelled wheelchairs of £321, which has been annuitised following the methodology it outlines.  Revenue costs (staff costs of maintenance, pressure relief) are £32 per year.  The source also comments that the range of purchase costs is high (£100 to £1,300) - the quoted costs are an approximate mid-range figure, and specific information should be used where possible.  
All costs quoted are at 2020-21 prices.</t>
  </si>
  <si>
    <t>Local authority own-provision day care for older people - cost per session</t>
  </si>
  <si>
    <t>Unit Costs of Health &amp; Social Care 2021 (Jones, 2021), p.27</t>
  </si>
  <si>
    <t>Social worker - adult services: cost per hour (excluding qualification costs)</t>
  </si>
  <si>
    <t>Unit Costs of Health &amp; Social Care 2021 (Jones, 2021), p 122</t>
  </si>
  <si>
    <t>This is the cost per hour for an adult services social worker's time excluding qualification costs, calculated pro-rata from data on mean salary and working hours, on-costs (national insurance, pensions), direct and indirect overheads (administration, management, office, training, utilities, general management and support services such as finance and HR) and capital costs.  The data are national averages - multipliers are provided, for use in calculating average costs for London and out-of-London (see the source document, p.122).  Related data are given below for cost per hour with qualification costs, at £52 (2020-21 prices).</t>
  </si>
  <si>
    <t>Social worker - children's services: cost per hour (excluding qualification costs)</t>
  </si>
  <si>
    <t>Unit Costs of Health &amp; Social Care 2021 (Jones, 2021), p 123</t>
  </si>
  <si>
    <t>Social work team leader / senior practitioner / senior social worker: cost per hour (excluding qualification costs)</t>
  </si>
  <si>
    <t>Updated with the cost entry in PSSRU 2021.  Entry adjusted to report the cost excluding qualification costs, and reference the cost including qualification cost in the Comment cell</t>
  </si>
  <si>
    <t>(not updated in subsequent PSSRU publications).  Entry adjusted to report the cost excluding qualification costs, and reference the cost including qualification cost in the Comment cell</t>
  </si>
  <si>
    <t>This is the cost per hour for a social worker team leader/senior practitioner/senior social worker's time excluding qualification costs, calculated pro-rata from data on mean salary and working hours, on-costs (national insurance, pensions), direct and indirect overheads (administration, management, office, training, utilities, general management and support services such as finance and HR) and capital costs.  The source also gives the cost per hour of client-related work at £75, excluding qualification costs.  The data are national averages - multipliers are provided, for use in calculating average costs for London and out-of-London.  Related data are given below for cost per hour with qualification costs, at £75 per hour or £98 per hour of client-related work.  All costs quoted here are at 2016-17 prices.</t>
  </si>
  <si>
    <t>Local Authority Community Occupational Therapist - cost per hour (excluding qualification costs)</t>
  </si>
  <si>
    <t>This is the overall cost per hour excluding qualification costs for a local authority-employed Community Occupational Therapist, calculated pro-rata from data on mean salary and working hours, on-costs (national insurance, pensions), overheads (administration, management, office, training, utilities, general management and support services such as finance and HR) and capital costs.  It is a national average - the source quotes a multiplier that can be used to obtain an average cost for London-based provision.  The source also quotes an average cost per hour including qualification costs, at £50 (2020/21 prices).</t>
  </si>
  <si>
    <t>This is the cost per hour for a children's services social worker's time excluding qualification costs, calculated pro-rata from data on mean salary and working hours, on-costs (national insurance, pensions), direct and indirect overheads (administration, management, office, training, utilities, general management and support services such as finance and HR), and capital costs.  The data are national averages - multipliers are provided, for use in calculating average costs for London and out-of-London (see the source document, p.122).  Related data are given below for cost per hour with qualification costs, at £52, and for the cost per case (excluding qualification costs), at £3,809 (2020-21 prices).</t>
  </si>
  <si>
    <t>This cost is taken from the NHS Reference Costs 2019-20 (MH worksheet), and is provided under the 'Mental health' section.  It represents the unit cost per bed day for adults admitted to hospital.  An amber flag is allocated as it is based on a single data submission.</t>
  </si>
  <si>
    <t xml:space="preserve">Updated with the entry from the 2020/21 NHS Reference Costs  </t>
  </si>
  <si>
    <t>This cost is taken from the NHS Reference Costs 2019-20 (MH worksheet), and is provided under the 'Mental health' section.  It represents the unit cost per bed day for a adult hospital outpatients attendance.  An amber flag is allocated as it is based on only three data submissions.</t>
  </si>
  <si>
    <t>This cost is taken from the NHS Reference Costs 2019-20 (MH worksheet), and is provided under the 'Mental health' section.  It represents the unit cost per bed day for adult community contacts with alcohol services.  An amber flag is allocated as it is based on only eight data submissions.</t>
  </si>
  <si>
    <t>This cost is taken from the NHS Reference Costs 2019-20 (MH worksheet), and is provided under the 'Mental health' section.  It represents the unit cost per bed day for community contacts with alcohol services by children and adolescents.  An amber flag is allocated as it is based on only five data submissions.</t>
  </si>
  <si>
    <t>This cost is taken from the NHS Reference Costs 2020-21, and is the average cost per hospital admission for rehabilitation services related to drug and alcohol addiction.  It represents an average of costs for the following types of rehabilitation: ‘complex specialised’ rehabilitation services (Level 1); ‘specialist’ rehabilitation services (Level 2); and ‘non-specialist’ rehabilitation services (Level 3).  Specific costs for these types of rehabilitation provision are available in the source workbook.</t>
  </si>
  <si>
    <t xml:space="preserve">Updated with data from the 2020/21 NHS Reference Costs  </t>
  </si>
  <si>
    <t>This cost is sourced from the NHS Reference Costs 2020-21 (currency code ASS01), and represents the average cost per call-out for ambulance services where the patient is seen and treated accordingly or referred onwards - note that the patient is not conveyed by the ambulance to hospital (see the related subsidiary cost, for currency code ASS02, for data on this measure).  This cost line, along with the related measure on 'seeing, treating and conveying patients', contributes to the headline measure that gives a weighted average for the cost of an ambulance call out.</t>
  </si>
  <si>
    <t>This cost is sourced from the NHS Reference Costs 2020-21 (currency code ASS02), and represents the average cost per call-out for ambulance services where the patient is seen, treated accordingly, and conveyed to hospital.  See the related subsidiary measure (currency code ASS01) for when an ambulance is called out, treatment/referral provided, but the patient is not conveyed by the ambulance to hospital.  This cost line, along with the related measure on 'seeing and treating or referring patients', contributes to the headline measure that gives a weighted average for the cost of an ambulance call out.</t>
  </si>
  <si>
    <t>This cost is sourced from the NHS Reference Costs 2020-21 (currency code ASC1), and represents the average cost per 999 call to the ambulance services, but where no further action is taken and an ambulance is not sent out to see the patient.</t>
  </si>
  <si>
    <t>This cost is sourced from the NHS Reference Costs 2020-21 (currency code ASH1), and represents the average cost per 999 call to the ambulance services where the patient receives treatment advice or onward referral, but an ambulance is not sent out.</t>
  </si>
  <si>
    <t xml:space="preserve">This cost is particularly useful when undertaking modelling or business planning around reducing unnecessary/avoidable A&amp;E attendance.  The data are sourced from NHS Reference Costs 2020-21 (HRG code VB11Z), and represent an average cost for A&amp;E attendance when patients receive no investigation and no significant treatment across a range of settings. </t>
  </si>
  <si>
    <r>
      <t xml:space="preserve">This is a subsidiary cost to the above headline cost, and is a weighted average calculated from NHS Reference Costs 2020-21 data.  It provides an average cost for A&amp;E attendance when patients receive no investigation and no significant treatment, but are </t>
    </r>
    <r>
      <rPr>
        <b/>
        <sz val="10"/>
        <rFont val="Arial"/>
        <family val="2"/>
      </rPr>
      <t xml:space="preserve">admitted </t>
    </r>
    <r>
      <rPr>
        <sz val="10"/>
        <rFont val="Arial"/>
        <family val="2"/>
      </rPr>
      <t>to hospital.  As with the headline cost (see comments cell above), the value will vary across different A&amp;E settings.  An amber flag has been allocated as the cost is based on only 4 data submissions.</t>
    </r>
  </si>
  <si>
    <r>
      <t xml:space="preserve">This is a subsidiary cost to the above headline cost, and is a weighted average calculated from NHS Reference Costs 2020-21 data.  It provides an average cost for A&amp;E attendance when patients receive no investigation and no significant treatment, and are </t>
    </r>
    <r>
      <rPr>
        <b/>
        <sz val="10"/>
        <rFont val="Arial"/>
        <family val="2"/>
      </rPr>
      <t>not admitted</t>
    </r>
    <r>
      <rPr>
        <sz val="10"/>
        <rFont val="Arial"/>
        <family val="2"/>
      </rPr>
      <t xml:space="preserve"> to hospital.  As with the headline cost (see comments cell above), the value will vary across different A&amp;E settings.</t>
    </r>
  </si>
  <si>
    <t>This cost is sourced from NHS Reference Costs 2020-21, and is a weighted average cost for A&amp;E attendance (using values from HRG codes VB01Z-VB99Z), covering all attendances including scenarios both where investigation and treatment are received, and where they are not received (see related headline measures below for unit costs for each of these scenarios).  The value will vary across different A&amp;E settings, e.g. depending on whether they are Type 1, 2, 3 or 4, or an urgent care centre.</t>
  </si>
  <si>
    <t xml:space="preserve">This cost is sourced from the NHS Reference Costs 2020-21, and is a weighted average of A&amp;E attendances when patients receive some form of investigation and subsequent treatment (note that it assumes A&amp;E attendance for dental care involves treatment) - it averages specific costs for different categories of investigation and different categories of treatment. </t>
  </si>
  <si>
    <r>
      <t xml:space="preserve">This is a subsidiary cost to the above headline cost, and is a weighted average calculated from NHS Reference Costs 2020-21 data. It provides an average cost for A&amp;E attendance when patients receive </t>
    </r>
    <r>
      <rPr>
        <b/>
        <sz val="10"/>
        <rFont val="Arial"/>
        <family val="2"/>
      </rPr>
      <t>any form of investigation</t>
    </r>
    <r>
      <rPr>
        <sz val="10"/>
        <rFont val="Arial"/>
        <family val="2"/>
      </rPr>
      <t xml:space="preserve"> and</t>
    </r>
    <r>
      <rPr>
        <b/>
        <sz val="10"/>
        <rFont val="Arial"/>
        <family val="2"/>
      </rPr>
      <t xml:space="preserve"> subsequent treatment,</t>
    </r>
    <r>
      <rPr>
        <sz val="10"/>
        <rFont val="Arial"/>
        <family val="2"/>
      </rPr>
      <t xml:space="preserve"> and are </t>
    </r>
    <r>
      <rPr>
        <b/>
        <sz val="10"/>
        <rFont val="Arial"/>
        <family val="2"/>
      </rPr>
      <t>admitted</t>
    </r>
    <r>
      <rPr>
        <sz val="10"/>
        <rFont val="Arial"/>
        <family val="2"/>
      </rPr>
      <t xml:space="preserve"> to hospital.  As with the headline cost (see comments cell above), the value will vary across different A&amp;E settings.</t>
    </r>
  </si>
  <si>
    <r>
      <t xml:space="preserve">This is a subsidiary cost to the above headline cost, and is a weighted average calculated from NHS Reference Costs 2020-21 data.  It provides an average cost for A&amp;E attendance when patients receive </t>
    </r>
    <r>
      <rPr>
        <b/>
        <sz val="10"/>
        <rFont val="Arial"/>
        <family val="2"/>
      </rPr>
      <t>any form of investigation</t>
    </r>
    <r>
      <rPr>
        <sz val="10"/>
        <rFont val="Arial"/>
        <family val="2"/>
      </rPr>
      <t xml:space="preserve"> and</t>
    </r>
    <r>
      <rPr>
        <b/>
        <sz val="10"/>
        <rFont val="Arial"/>
        <family val="2"/>
      </rPr>
      <t xml:space="preserve"> subsequent treatment</t>
    </r>
    <r>
      <rPr>
        <sz val="10"/>
        <rFont val="Arial"/>
        <family val="2"/>
      </rPr>
      <t xml:space="preserve">, but are </t>
    </r>
    <r>
      <rPr>
        <b/>
        <sz val="10"/>
        <rFont val="Arial"/>
        <family val="2"/>
      </rPr>
      <t xml:space="preserve">not admitted to hospital </t>
    </r>
    <r>
      <rPr>
        <sz val="10"/>
        <rFont val="Arial"/>
        <family val="2"/>
      </rPr>
      <t>(note that it assumes A&amp;E attendance for dental care involves treatment).  As with the headline cost (see comments cell above), the value will vary across different A&amp;E settings.</t>
    </r>
  </si>
  <si>
    <r>
      <t xml:space="preserve">This is a subsidiary cost to the above headline cost, and is a weighted average calculated from NHS Reference Costs 2020-21 data.  It provides an average cost for A&amp;E attendance of </t>
    </r>
    <r>
      <rPr>
        <b/>
        <sz val="10"/>
        <rFont val="Arial"/>
        <family val="2"/>
      </rPr>
      <t>any</t>
    </r>
    <r>
      <rPr>
        <sz val="10"/>
        <rFont val="Arial"/>
        <family val="2"/>
      </rPr>
      <t xml:space="preserve"> type (including where investigation and treatment of different types/degrees are undertaken, and where they are not), when patients are subsequently </t>
    </r>
    <r>
      <rPr>
        <b/>
        <sz val="10"/>
        <rFont val="Arial"/>
        <family val="2"/>
      </rPr>
      <t>admitted to hospital</t>
    </r>
    <r>
      <rPr>
        <sz val="10"/>
        <rFont val="Arial"/>
        <family val="2"/>
      </rPr>
      <t>.  As with the headline cost (see comments cell above), the value will vary across different A&amp;E settings.</t>
    </r>
  </si>
  <si>
    <r>
      <t xml:space="preserve">This is a subsidiary cost to the above headline cost, and is a weighted average calculated from NHS Reference Costs 2020-21 data.  It provides an average cost for A&amp;E attendance of any type (including where </t>
    </r>
    <r>
      <rPr>
        <b/>
        <sz val="10"/>
        <rFont val="Arial"/>
        <family val="2"/>
      </rPr>
      <t>investigation</t>
    </r>
    <r>
      <rPr>
        <sz val="10"/>
        <rFont val="Arial"/>
        <family val="2"/>
      </rPr>
      <t xml:space="preserve"> and </t>
    </r>
    <r>
      <rPr>
        <b/>
        <sz val="10"/>
        <rFont val="Arial"/>
        <family val="2"/>
      </rPr>
      <t>treatment</t>
    </r>
    <r>
      <rPr>
        <sz val="10"/>
        <rFont val="Arial"/>
        <family val="2"/>
      </rPr>
      <t xml:space="preserve"> of different types/degrees are undertaken, and where they are not), when patients are subsequently </t>
    </r>
    <r>
      <rPr>
        <b/>
        <sz val="10"/>
        <rFont val="Arial"/>
        <family val="2"/>
      </rPr>
      <t>not admitted to hospital.</t>
    </r>
    <r>
      <rPr>
        <sz val="10"/>
        <rFont val="Arial"/>
        <family val="2"/>
      </rPr>
      <t xml:space="preserve">  As with the headline cost (see comments cell above), the value will vary across different A&amp;E settings.</t>
    </r>
  </si>
  <si>
    <t>This cost has been calculated from the NHS Reference Costs 2020-21 and represents the average cost per 'finished consultant episode' (FCE) - an FCE (or hospital episode) is a period of admitted patient care under a single consultant, within a single healthcare provider.  It has been derived from the average costs for elective inpatient, non-elective (long stay) and non-elective (short-stay) episodes in the source 'EL', 'NEL' and 'NES' worksheets, the costs for which are provided in the subsidiary measures below.</t>
  </si>
  <si>
    <t>Hospital inpatient admission - average cost per episode (elective and non-elective admissions)</t>
  </si>
  <si>
    <t>Hospital inpatient admission - average cost per episode, elective admissions</t>
  </si>
  <si>
    <t>Hospital inpatient admission - average cost per episode, non-elective admissions</t>
  </si>
  <si>
    <t>This cost has been calculated from the NHS Reference Costs 2020-21, and represents the average cost per 'finished consultant episode' (FCE) - an FCE (or hospital episode) is a period of admitted patient care under a single consultant, within a single healthcare provider.  The cost has been derived from averaging all the elective inpatient HRG data provided in the source 'EL' worksheet.</t>
  </si>
  <si>
    <t>This cost has been calculated from the NHS Reference Costs 2020-21 and represents the average cost per 'finished consultant episode' (FCE) - an FCE (or hospital episode) is a period of admitted patient care under a single consultant, within a single healthcare provider.  It has been derived from averaging all the data for non-elective long stay and non-elective short stay episodes, in the source 'NEL' and 'NES' worksheets.  The average cost per episode for non-elective long stay inpatients is £4,842 per episode; for non-elective short stay inpatients it is £959 per episode (both costs quoted at 2020-21 prices).</t>
  </si>
  <si>
    <t>This cost has been calculated from the NHS Reference Costs 2020-21 and represents the average cost per 'finished consultant episode' (FCE) for hospital admissions for Chronic Obstructive Pulmonary Disorder (COPD) - an FCE (or hospital episode) is a period of admitted patient care under a single consultant, within a single healthcare provider.  It has been derived from the weighted average of COPD costs (HRG codes DZ65A-DZ65K) given in the source 'Total HRGs' worksheet.  Individual unit costs are given in related worksheets within the source for different levels of intervention (e.g. with multiple/single intervention, without intervention), and for elective and non-elective inpatient and day admissions.</t>
  </si>
  <si>
    <t>This cost has been calculated from the NHS Reference Costs 2020-21 and represents the average cost per 'finished consultant episode' (FCE) for hospital admissions for asthma - an FCE (or hospital episode) is a period of admitted patient care under a single consultant, within a single healthcare provider.  It has been derived from the weighted average of asthma costs (HRG codes DZ15M-DZ15R) given in the source 'Total HRGs' worksheet.  Individual unit costs are given in related worksheets within the source for with or without intervention, and for elective and non-elective inpatient and day admissions.</t>
  </si>
  <si>
    <t>Asthma/respiratory issues - average cost per contact by specialist nurses / liaison</t>
  </si>
  <si>
    <t>This is the average cost of a knee replacement as sourced from the NHS Reference Costs 2020-21.  It has been derived from the weighted average across both major or very major knee procedure (HRG codes HN22A-HN23E) given in the 'Total HRGs' worksheet.</t>
  </si>
  <si>
    <t>This is the average cost of a hip replacement as sourced from the NHS Reference Costs 2020-21.  It has been derived from the weighted average across both major or very major hip procedures (HRG codes HN12A-HN13H) given in the 'Total HRGs' worksheet.</t>
  </si>
  <si>
    <r>
      <t>This cost is sourced from the NHS Reference Costs 2020-21, and represents the average cost of a surgical / medical abortion of miscarriage care at less than 14 weeks gestation (weighted average of costs MA52A, MA52B, MA55A, MA55B, MA56A, MA556B).  Also see the related subsidiary cost for terminations between 14 and 20 weeks gestation.  The source also gives average costs for elective and non-elective inpatients, day cases and outpatients (search the Reference Costs workbook by entering the above codes in the Excel Find tool to find specific data).</t>
    </r>
    <r>
      <rPr>
        <b/>
        <sz val="10"/>
        <rFont val="Arial"/>
        <family val="2"/>
      </rPr>
      <t xml:space="preserve">
</t>
    </r>
  </si>
  <si>
    <r>
      <t xml:space="preserve">This cost is sourced from the NHS Reference Costs 2020-21, and represents the average cost of a surgical / medical termination of pregnancy at more than 14 weeks gestation (weighted average of costs MA50Z, MA51Z, MA53Z, MA54Z).  Also see the related subsidiary cost for terminations at less than 14 weeks gestation.  The source also gives average costs for elective and non-elective inpatients, day cases and outpatients (search the Reference Costs workbook by entering the above codes in the Excel Find tool to find specific data).
</t>
    </r>
    <r>
      <rPr>
        <b/>
        <sz val="10"/>
        <rFont val="Arial"/>
        <family val="2"/>
      </rPr>
      <t xml:space="preserve">
</t>
    </r>
  </si>
  <si>
    <t>This cost is sourced from the NHS Reference Costs 2020-21 code MB08A and MB08B), and represents the average cost of a threatened or spontaneous miscarriage.  The source also gives average costs for elective and non-elective inpatients and day cases (search the Reference Costs workbook by entering 'MB08' in the Excel Find tool to find specific data).</t>
  </si>
  <si>
    <t>This cost has been calculated from the NHS Reference Costs 2020-21, and represents the weighted average cost per hospital outpatient attendance  It has been derived from the average costs across all service codes detailed in the source 'Total Outpatient Attendance' worksheet.</t>
  </si>
  <si>
    <t>This cost has been calculated from the NHS Reference Costs 2020-21 and represents the weighted average cost per outpatient procedure undertaken.  It has been derived from the average costs across all currency codes detailed in the source 'OPROC' worksheet.</t>
  </si>
  <si>
    <t>This is the average cost for a radiotherapy (clinical oncology) hospital outpatient attendance.  It is taken from the NHS Reference Costs 2020-21 (see the 'Total Outpatient Attendances' worksheet, service code 800).</t>
  </si>
  <si>
    <t>This cost has been calculated from the NHS Reference Costs 2020-21, and represents the average cost per 'finished consultant episode' (FCE) for hospital day cases - an FCE (or hospital episode) is a period of admitted patient care under a single consultant, within a single healthcare provider.  It has been derived from the average day case costs given in the source 'DC' worksheet.</t>
  </si>
  <si>
    <t>This cost has been calculated from the NHS Reference Costs 2019-20 and represents the weighted average cost per regular attendance at hospital day care facilities.  It has been derived from the average costs across currency code "DCFRAD" detailed in the source 'CHS' worksheet.</t>
  </si>
  <si>
    <t xml:space="preserve">This is the average cost for a outpatient attendance with a hospital-based occupational therapist.  It is taken from the NHS Reference Costs 2020-21  (see 'Total Outpatient Attendance' worksheet, service code 651).
</t>
  </si>
  <si>
    <t>This is the average cost for an attendance with a hospital-based physiotherapist.  It is taken from the NHS Reference Costs 2020-21, and is a weighted average of entries on the 'Other Currencies' worksheet, currency codes A08A1-A08CG.  Note that this cost is not directly comparable with the cost per hour data quoted above, which is taken from the Unit Costs of Health and Social Care 2016 publication, and is derived in a different way.</t>
  </si>
  <si>
    <t>This is the average cost for a outpatient attendance with a hospital-based speech and language therapist.  It is taken from the NHS Reference Costs 2020-21  (see 'Total Outpatient Attendance' worksheet, service code 652). Note that this cost is not directly comparable with the cost per hour data quoted above, which is taken from the Unit Costs of Health and Social Care 2016 publication, and is derived in a different way.</t>
  </si>
  <si>
    <t>This is the average cost per occupied bed-day for a mental health inpatient attendance by children/adolescents.  It is taken from the NHS Reference Costs 2020-21 (see worksheet MH).</t>
  </si>
  <si>
    <t>This is the average cost per mental health outpatient attendance by children/adolescents.  It is taken from the NHS Reference Costs 2020-21 (see worksheet MH, currency code CAMHSOP).</t>
  </si>
  <si>
    <t xml:space="preserve">Replacement for previous CAMHS entries taken from the 2017 Unit Costs of Health and Social Care publication, taken from the 2020/21 NHS Reference Costs  </t>
  </si>
  <si>
    <t>This is the average cost per mental health care cluster initial assessment.  It is taken from the NHS Reference Costs 2020-21, using the weighted average of data included on the 'MHCCIA' worksheet.
The Department of Health mandated the use of mental health care clusters as the currencies for adult mental health services.  Care clusters cover most services for working-age adults and older people, therefore replacing previous reference cost currencies for those services.  Care clusters focus on the characteristics and needs of the service user, rather than the individual interventions they receive or their diagnosis.</t>
  </si>
  <si>
    <t>Mental health care clusters, average cost per cluster day</t>
  </si>
  <si>
    <t>Mental health care clusters, average cost per initial assessment</t>
  </si>
  <si>
    <t>Mental health secure unit - average cost per bed day</t>
  </si>
  <si>
    <t>This is the average cost per bed day in a mental health secure unit.  It is taken from the NHS Reference Costs 2020-21, using the weighted average of data included on the 'SECMHCC' worksheet.
The Department of Health mandated the use of mental health care clusters as the currencies for adult mental health services.  Care clusters cover most services for working-age adults and older people, therefore replacing previous reference cost currencies for those services.  Care clusters focus on the characteristics and needs of the service user, rather than the individual interventions they receive or their diagnosis.</t>
  </si>
  <si>
    <t>Updated with 2019/20 costs (but not updated in more recent NHS Reference Costs publications)</t>
  </si>
  <si>
    <t>This cost has been calculated from the NHS Reference Costs 2020-21, and represents the average cost per call-out for ambulance services where the patient is seen, treated accordingly, and either referred or conveyed to hospital (Currency codes ASS01 and ASS02).  It has been derived from the weighted average of the two (this is calculated by multiplying each unit cost by the weight of the activity and then adding them together).  Other subsidiary measures provide costs for 999 calls to ambulance services without further action, and 999 calls to ambulance services where treatment advice or onward referral is provided over the telephone, but an ambulance is not sent out.  Across all these measures, the weighted average for calls to ambulance services is £269 (2020-21 prices; derived from currency codes ASS01, ASS02, ASC1 and ASH1).</t>
  </si>
  <si>
    <t>Physiotherapist, hospital-based - cost per outpatient attendance</t>
  </si>
  <si>
    <t>Speech and language therapist, hospital-based - cost per outpatient attendance</t>
  </si>
  <si>
    <t>HE1.0.1</t>
  </si>
  <si>
    <t>HE1.0.2</t>
  </si>
  <si>
    <t>HE1.2</t>
  </si>
  <si>
    <t>HE2.2.1</t>
  </si>
  <si>
    <t>HE2.2.2</t>
  </si>
  <si>
    <t>HE2.4</t>
  </si>
  <si>
    <t>HE3.1.1</t>
  </si>
  <si>
    <t>HE3.1.2</t>
  </si>
  <si>
    <t>HE3.1.3</t>
  </si>
  <si>
    <t>HE3.1.4</t>
  </si>
  <si>
    <t>HE3.1.5</t>
  </si>
  <si>
    <t>HE3.1.6</t>
  </si>
  <si>
    <t>HE3.3</t>
  </si>
  <si>
    <t>HE3.4</t>
  </si>
  <si>
    <t>HE3.5</t>
  </si>
  <si>
    <t>HE3.6</t>
  </si>
  <si>
    <t>HE3.7</t>
  </si>
  <si>
    <t>HE3.8</t>
  </si>
  <si>
    <t>HE3.8.1</t>
  </si>
  <si>
    <t>HE3.8.2</t>
  </si>
  <si>
    <t>HE3.9</t>
  </si>
  <si>
    <t>HE3.9.1</t>
  </si>
  <si>
    <t>HE3.9.2</t>
  </si>
  <si>
    <t>HE3.9.3</t>
  </si>
  <si>
    <t>HE3.9.4</t>
  </si>
  <si>
    <t>HE3.9.5</t>
  </si>
  <si>
    <t>HE4.1</t>
  </si>
  <si>
    <t>HE4.2</t>
  </si>
  <si>
    <t>HE4.3</t>
  </si>
  <si>
    <t>HE4.4</t>
  </si>
  <si>
    <t>HE4.5</t>
  </si>
  <si>
    <t>HE4.6</t>
  </si>
  <si>
    <t>HE6.5</t>
  </si>
  <si>
    <t>HE6.6</t>
  </si>
  <si>
    <t>HE6.7</t>
  </si>
  <si>
    <t>HE6.8</t>
  </si>
  <si>
    <t>HE6.9</t>
  </si>
  <si>
    <t>HE6.10</t>
  </si>
  <si>
    <t>HE6.11</t>
  </si>
  <si>
    <t>HE6.12</t>
  </si>
  <si>
    <t>HE6.13</t>
  </si>
  <si>
    <t>HE6.14</t>
  </si>
  <si>
    <t>HE8.0.1</t>
  </si>
  <si>
    <t>HE8.0.2</t>
  </si>
  <si>
    <t>HE8.1.1</t>
  </si>
  <si>
    <t>HE8.1.2</t>
  </si>
  <si>
    <t>HE8.1.3</t>
  </si>
  <si>
    <t>HE8.2.1</t>
  </si>
  <si>
    <t>HE8.2.2</t>
  </si>
  <si>
    <t>HE8.2.3</t>
  </si>
  <si>
    <t>HE8.3.1</t>
  </si>
  <si>
    <t>HE8.3.2</t>
  </si>
  <si>
    <t>HE8.4</t>
  </si>
  <si>
    <t>HE8.5</t>
  </si>
  <si>
    <t>HE8.5.1</t>
  </si>
  <si>
    <t>HE8.5.2</t>
  </si>
  <si>
    <t>HE8.6</t>
  </si>
  <si>
    <t>HE8.7</t>
  </si>
  <si>
    <t>HE8.7.1</t>
  </si>
  <si>
    <t>HE8.7.2</t>
  </si>
  <si>
    <t>HE8.7.3</t>
  </si>
  <si>
    <t>HE8.8</t>
  </si>
  <si>
    <t>HE8.9</t>
  </si>
  <si>
    <t>HE8.9.1</t>
  </si>
  <si>
    <t>HE8.9.2</t>
  </si>
  <si>
    <t>HE8.10</t>
  </si>
  <si>
    <t>HE8.11</t>
  </si>
  <si>
    <t>HE8.12</t>
  </si>
  <si>
    <t>HE8.13</t>
  </si>
  <si>
    <t>HE8.14</t>
  </si>
  <si>
    <t>HE8.14.1</t>
  </si>
  <si>
    <t>HE8.14.2</t>
  </si>
  <si>
    <t>HE9.2</t>
  </si>
  <si>
    <t>HE9.3</t>
  </si>
  <si>
    <t>HE9.4</t>
  </si>
  <si>
    <t>HE9.5</t>
  </si>
  <si>
    <t>HE9.6</t>
  </si>
  <si>
    <t>HE9.7</t>
  </si>
  <si>
    <t>HE10.0.1</t>
  </si>
  <si>
    <t>HE10.0.2</t>
  </si>
  <si>
    <t>HE10.0.3</t>
  </si>
  <si>
    <t>HE10.1.1</t>
  </si>
  <si>
    <t>HE10.1.2</t>
  </si>
  <si>
    <t>HE10.1.3</t>
  </si>
  <si>
    <t>HE11.2</t>
  </si>
  <si>
    <t>HE15.3</t>
  </si>
  <si>
    <t>HE15.4</t>
  </si>
  <si>
    <t>HE15.5</t>
  </si>
  <si>
    <t>HE15.6</t>
  </si>
  <si>
    <t>HE17.2</t>
  </si>
  <si>
    <t>HE17.7</t>
  </si>
  <si>
    <t>HE17.8</t>
  </si>
  <si>
    <t>HE18.1</t>
  </si>
  <si>
    <t>HE18.2</t>
  </si>
  <si>
    <t>HE20.1</t>
  </si>
  <si>
    <t>HE20.7</t>
  </si>
  <si>
    <t>HE20.8</t>
  </si>
  <si>
    <t>HE21.1</t>
  </si>
  <si>
    <t>HE21.2</t>
  </si>
  <si>
    <t>HE21.3</t>
  </si>
  <si>
    <t>HE21.4</t>
  </si>
  <si>
    <t>HE22.1</t>
  </si>
  <si>
    <t>HE22.3</t>
  </si>
  <si>
    <t>HE22.4</t>
  </si>
  <si>
    <t>HE22.5</t>
  </si>
  <si>
    <t>HE22.6</t>
  </si>
  <si>
    <t>HE22.7</t>
  </si>
  <si>
    <t>HE22.8</t>
  </si>
  <si>
    <t>HE22.9</t>
  </si>
  <si>
    <t>HE22.10</t>
  </si>
  <si>
    <t>HE22.11</t>
  </si>
  <si>
    <t>HE22.12</t>
  </si>
  <si>
    <t>HE23.0.1</t>
  </si>
  <si>
    <t>HE23.0.2</t>
  </si>
  <si>
    <t>HE23.0.3</t>
  </si>
  <si>
    <t>HE23.1</t>
  </si>
  <si>
    <t>HE23.1.1</t>
  </si>
  <si>
    <t>HE23.1.2</t>
  </si>
  <si>
    <t>HE23.2</t>
  </si>
  <si>
    <t>HE23.3</t>
  </si>
  <si>
    <t>HE23.4</t>
  </si>
  <si>
    <t>HE23.5</t>
  </si>
  <si>
    <t>HE23.6</t>
  </si>
  <si>
    <t>HE23.7</t>
  </si>
  <si>
    <t>HE23.8</t>
  </si>
  <si>
    <t>HE23.9</t>
  </si>
  <si>
    <t>HE23.10</t>
  </si>
  <si>
    <t>HE23.11</t>
  </si>
  <si>
    <t>HE23.12</t>
  </si>
  <si>
    <t>HE23.13</t>
  </si>
  <si>
    <t>HE23.14</t>
  </si>
  <si>
    <t>HE23.15</t>
  </si>
  <si>
    <t>HE23.16</t>
  </si>
  <si>
    <t>HE23.17</t>
  </si>
  <si>
    <t>HE25.2</t>
  </si>
  <si>
    <t>HE25.3</t>
  </si>
  <si>
    <t>HE25.4</t>
  </si>
  <si>
    <t>HE25.5</t>
  </si>
  <si>
    <t>HE25.6</t>
  </si>
  <si>
    <t>HE26.0.1</t>
  </si>
  <si>
    <t>HE26.0.2</t>
  </si>
  <si>
    <t>HE27.0.1</t>
  </si>
  <si>
    <t>HE27.0.2</t>
  </si>
  <si>
    <t>Updated with 2018/19 costs, and comment cell amended</t>
  </si>
  <si>
    <t>HE28.0.1</t>
  </si>
  <si>
    <t>HE28.0.2</t>
  </si>
  <si>
    <t>Non-fatal workplace injury - average cost per incident, 7 days or more absence</t>
  </si>
  <si>
    <t>Non-fatal workplace injury - average cost per incident, up to 6 days absence</t>
  </si>
  <si>
    <t>Workplace fatality - average cost per incident</t>
  </si>
  <si>
    <t>Work-related ill-health - average cost of absence from the workplace for up to 6 days due to work-related ill health</t>
  </si>
  <si>
    <t>Work-related ill-health - average cost of absence from the workplace for 7 days or more due to work-related ill health</t>
  </si>
  <si>
    <t>Work-related ill-health - average cost of absence from the workplace (for any length of time) due to work-related ill health</t>
  </si>
  <si>
    <r>
      <t xml:space="preserve">Non-fatal workplace injury - average cost per incident </t>
    </r>
    <r>
      <rPr>
        <sz val="10"/>
        <color rgb="FF000000"/>
        <rFont val="Arial"/>
        <family val="2"/>
      </rPr>
      <t>(for any length of absence)</t>
    </r>
  </si>
  <si>
    <t>Constituent cost to the above entry now reported</t>
  </si>
  <si>
    <t>HE28.2.1</t>
  </si>
  <si>
    <t>HE28.2.2</t>
  </si>
  <si>
    <t>Average annual cost of patient with coronary artery disease</t>
  </si>
  <si>
    <t>Average annual cost of patient with hypertension</t>
  </si>
  <si>
    <t>Average annual cost of patient with asthma</t>
  </si>
  <si>
    <t>Average annual cost of patient with chronic obstructive pulmonary disease (COPD)</t>
  </si>
  <si>
    <t>Note that this entry represents the direct economic cost to employers relating to sickness absence, potentially comprising both statutory sick pay and occupational sick pay; it does not give a fiscal cost falling to public agencies.  It is derived from the CIPD Absence Management survey report for 2016, which details a median annual absence cost per employee of £522, and an average (5% trimmed mean) 6.3 days absence per employee per annum.  The cost of sickness absence per working day is therefore calculated by dividing £522 by 6.3.  The source also details the average number of days absence for employees in a range of sectors; although it provides a differentiated value for the median cost of absence for public sector employees (£835), it does not do so for other sectors, so the extent to which the same methodology can be used to derive values for the cost of sickness absence to employees in specific sectors is limited.
Also relevant are the entries in the 'Health' theme on workplace absence due to non-fatal injuries and work-related ill-health - see cost codes HE28.0, 28.0.1, 28.0.2, and 28.2, 28.2.1 and 28.2.2.
Reflecting the headline, global derivation of the unit cost, and the potential for variation depending on sector and workplace, an amber flag has been allocated.</t>
  </si>
  <si>
    <t>This is the average cost of emergency inpatient activity for lung cancer patients, and is derived from the NHS Reference Costs 2009-10 database.  The source also provides an average cost for elective inpatient activity for lung cancer patients of £1,737, in order to highlight the cost savings that might be made through planned care rather than emergency admissions. Note that details on the constituent NHS Reference Costs data that have been used to calculate this cost are not provided, and it is not clear exactly what is meant by 'inpatient activity' (we have assumed that it refers to the unit cost per admission, rather than the unit cost per lung cancer patient); the data are also old, dating from 2009-10.  For these reasons, an amber flag has been allocated.</t>
  </si>
  <si>
    <t xml:space="preserve">This figure has been taken from PHE's return on investment tool for community based falls prevention programmes for older adults. It is based on research from Craig et al (2013), an analysis of hospital episode statistics data undertaken by PHE and an expert reference group. The source distinguishes between "non-serious" and "serious" falls based on whether or not the individual who has fallen required input from medical or social services - of serious fallers, 51% require a GP appointment, 61% an ambulance call-out and 80% an attendance at A&amp;E. 35% of those who attend A&amp;E are admitted as an inpatient, with 31% of those admissions being related to hip fractures. Additional data from PHE suggests that 2.4% of inpatients die before discharge. The remaining patients are discharged to the following locations; usual residence (88.3%), long stay geriatric ward (5.7%), NHS care home (1.5%), local authority residential home (0.6%), and a non-NHS care home (1.6%). Each component of the patient journey has then been costed accordingly by adopting unit costs taken from a variety of sources, including this database, to derive the composite unit cost quoted here. Additional costs are provided below for different types of falls, which should be adopted with caution given the age of the underlying source data. </t>
  </si>
  <si>
    <t>This is the average cost per treatment of a dental extraction. It is taken from the report "Improving Child Oral Health: Cost Analysis of a National Toothbrushing Programme". The study examined data for 5-year old children across a ten year period (1999/00 - 2009/10) in Scotland.
Please note, as the children are under 18, their dental care is free. Therefore, the cost here does not account for any individual financial charges which may occur for adult patients, which could mitigate costs. 
This figure is the average cost across general anaesthetic (GA) and local anaesthetic (LA). Between the two options, costs vary considerably, with LA at an average of £14, and GA (which is most common for multiple extractions, defined as two or more) averaging at £653. These figures all include the cost of actual extraction, and potential additional costs for further visits.</t>
  </si>
  <si>
    <t>This cost is taken from the NHS Reference Costs 2020-21 (MH worksheet), and is provided under the 'Mental health' section.  It represents the unit cost per hospital admission for adults.  An amber flag has been allocated as it is based on only three data submissions.</t>
  </si>
  <si>
    <t>This cost is taken from the NHS Reference Costs 2020-21 (MH worksheet), and is provided under the 'Mental health' section.  It represents the unit cost per outpatient attendance for adults.  An amber flag has been allocated as it is based on only six data submissions.</t>
  </si>
  <si>
    <t>This cost is taken from the NHS Reference Costs 2020-21 (MH worksheet), and is provided under the 'Mental health' section.  It represents the unit cost per contact with community-based drug services provision for adults.   An amber flag has been allocated as it is based on only nine data submissions.</t>
  </si>
  <si>
    <t>This cost is taken from the NHS Reference Costs 2020-21 (MH worksheet), and is provided under the 'Mental health' section. It represents the unit cost per contact with community-based drug services provision for children and adolescents.  An amber flag has been allocated as it is based on only four data submissions.</t>
  </si>
  <si>
    <t>This cost has been calculated from the NHS Reference Costs 2020-21 and represents the average cost per contact by specialist community/outreach nurses with patients suffering from asthma.  It has been derived from the weighted average of asthma costs (HRG codes N08AF, N08AN, N08CF and N08CN) given in the 'Other currencies' worksheet.</t>
  </si>
  <si>
    <t>This cost represents the labour cost per contract hour for a surgical consultant providing care in a hospital setting; additional costs for qualifications can be found in Section V of the source document (pg.135). The costs are derived from salary costs (including on-costs such as national insurance and pension contributions), plus an element to account for a proportion of overheads (management, admin, travel, telephone, supplies and services, utilities) and capital costs.  The source also provides guidance on the use of London and non-London multipliers (see p.140).</t>
  </si>
  <si>
    <t xml:space="preserve">This is the average unit cost per hour of a performer-only NHS Dentist.  A performer-only dentist is a qualified dentist who works in a Providing-Performer practice (e.g. a local dental practice), and who are sometimes referred to as Associates.  
The source also provides the unit cost per hour of patient contact, at £133 (2019-20 prices).  These costs are derived from a combination of remuneration, practice expenses, travel, capital costs and equipment costs. </t>
  </si>
  <si>
    <t xml:space="preserve">This is the average cost of a consultant-led family planning clinic outpatient attendance.  It is taken from the Unit Costs of Health and Social Care 2021 publication, but originally sourced from the 2019/20 NHS reference costs.
The source also quotes the relevant unit cost for a non-consultant-led outpatient attendance at £78 (at 2020-21 prices).
</t>
  </si>
  <si>
    <t>This is the average unit cost per case for all forms of non-fatal workplace injuries.  Specific fiscal, economic and social values have been calculated from the disaggregated costs noted in the source.  The fiscal entry denotes those costs which fall to government and the public sector (largely NHS costs, but including administration associated with benefit claims).  Social costs are defined as 'human costs', representing a monetary estimate of the loss of quality of life.  The economic entry includes lost income to employees and the cost to employers of work reorganisation and/or recruitment, plus the cost of Employer's Liability Compulsory Insurance (less compensation pay-outs made to individuals). 
Although the source provides a robust overall estimate, individual unit costs are uncertain due to sampling variability in the injury and ill-health incidence estimates, and the use of estimates in both the ill health valuation and underlying pricing used to calculate costs.  Entries are averages, and may vary significantly depending on the nature of the incident and type of injury.  This will have a bearing on length of absence - the two cost lines below give average costs for different time periods.</t>
  </si>
  <si>
    <t>This is the average unit cost per case for non-fatal workplace injuries where the length of absence is 7 days or more.  Specific fiscal, economic and social values have been calculated from the disaggregated costs noted in the source.  The fiscal entry denotes those costs which fall to government and the public sector (largely NHS costs, but including administration associated with benefit claims).  Social costs are defined as 'human costs', representing a monetary estimate of the loss of quality of life.  The economic entry includes lost income to employees and the cost to employers of work reorganisation and/or recruitment, plus the cost of Employer's Liability Compulsory Insurance (less compensation pay-outs made to individuals). 
Although the source provides a robust overall estimate, individual unit costs are uncertain due to sampling variability in the injury and ill-health incidence estimates, and the use of estimates in both the ill health valuation and underlying pricing used to calculate costs.  Entries are averages, and may vary significantly depending on the nature of the incident and type of injury.</t>
  </si>
  <si>
    <t>This is the average unit cost per case for non-fatal workplace injuries where the length of absence is up to 6 days.  Specific fiscal, economic and social values have been calculated from the disaggregated costs noted in the source.  The fiscal entry denotes those costs which fall to government and the public sector (largely NHS costs, but including administration associated with benefit claims).  Social costs are defined as 'human costs', representing a monetary estimate of the loss of quality of life.  The economic entry includes lost income to employees and the cost to employers of work reorganisation and/or recruitment, plus the cost of Employer's Liability Compulsory Insurance (less compensation pay-outs made to individuals). 
Although the source provides a robust overall estimate, individual unit costs are uncertain due to sampling variability in the injury and ill-health incidence estimates, and the use of estimates in both the ill health valuation and underlying pricing used to calculate costs.  Entries are averages, and may vary significantly depending on the nature of the incident and type of injury.</t>
  </si>
  <si>
    <t>This is the average unit cost per case for workplace injuries that prove fatal.  Specific fiscal, economic and social values have been calculated from the disaggregated costs noted in the source.  The fiscal entry denotes those costs which fall to government and the public sector.  Social costs are defined as 'human costs', representing a monetary estimate of the loss of life.  The economic entry includes lost income to employees and the cost to employers of work reorganisation and/or recruitment, plus the cost of Employer's Liability Compulsory Insurance (less compensation pay-outs made to individuals). 
Although the source provides a robust overall estimate, individual unit costs are uncertain due to sampling variability, and the use of estimates in the underlying pricing used to calculate costs.  Entries are averages, and may vary significantly depending on the nature of the incident.  Note that the fiscal and economic values given here differ slightly from those in the source tables - an adjustment has been necessary to ensure that the sum of fiscal and economic values equals the total financial cost quoted in the source (Table 1).  The discrepancy appears to be due to two factors: (i) rounding in the source data; and (ii) transfer payments relating to benefit savings to government vs. loss of benefits to individuals.  The latter issue has been accounted for in Table 1, but not in the fiscal and economic values shown in Tables 2 to 4.  For the unit cost database entries, the adjustment value has been divided equally across the fiscal and economic entries.</t>
  </si>
  <si>
    <t>This is the average unit cost per absence from the workplace due to work-related ill-health.  Specific fiscal, economic and social values have been calculated from the disaggregated costs noted in the source.  The fiscal entry denotes those costs which fall to government and the public sector (largely NHS costs, but including administration associated with benefit claims).  Social costs are defined as 'human costs', representing a monetary estimate of the loss of quality of life.  The economic entry includes lost income to employees and the cost to employers of work reorganisation and/or recruitment, plus the cost of Employer's Liability Compulsory Insurance (less compensation pay-outs made to individuals). 
Although the source provides a robust overall estimate, individual unit costs are uncertain due to sampling variability in the injury and ill-health incidence estimates, and the use of estimates in both the ill health valuation and underlying pricing used to calculate costs.  Entries are averages, and may vary significantly depending on the nature of ill-health experienced by the employee and the length of absence - the two cost lines below give average costs for different time periods.
Also relevant are the entries in the 'Employment &amp; Economy' theme on sickness absence - see cost codes E&amp;E10.0, 10.1 and 10.2.</t>
  </si>
  <si>
    <t>This is the average unit cost per absence from the workplace due to work-related ill-health, for absences of 7 days or more.  Specific fiscal, economic and social values have been calculated from the disaggregated costs noted in the source.  The fiscal entry denotes those costs which fall to government and the public sector (largely NHS costs, but including administration associated with benefit claims).  Social costs are defined as 'human costs', representing a monetary estimate of the loss of quality of life.  The economic entry includes lost income to employees and the cost to employers of work reorganisation and/or recruitment, plus the cost of Employer's Liability Compulsory Insurance (less compensation pay-outs made to individuals). 
Although the source provides a robust overall estimate, individual unit costs are uncertain due to sampling variability in the injury and ill-health incidence estimates, and the use of estimates in both the ill health valuation and underlying pricing used to calculate costs.  Entries are averages, and may vary significantly depending on the nature of ill-health experienced by the employee and the length of absence (e.g. considerably more than 7 days vs. just above).  Note that the fiscal and economic values given here differ slightly from those in the source tables - an adjustment has been necessary to ensure that the sum of fiscal and economic values equals the total financial cost quoted in the source (Table 1).  The discrepancy appears to be due to two factors: (i) rounding in the source data; and (ii) transfer payments relating to benefit savings to government vs. loss of benefits to individuals.  The latter issue has been accounted for in Table 1, but not in the fiscal and economic values shown in Tables 2 to 4.  For the unit cost database entries, the adjustment value has been divided equally across the fiscal and economic entries.
Also relevant are the entries in the 'Employment &amp; Economy' theme on sickness absence - see cost codes E&amp;E10.0, 10.1 and 10.2.</t>
  </si>
  <si>
    <t>This is the average unit cost per absence from the workplace due to work-related ill-health, for absences of 7 days or more.  Specific fiscal, economic and social values have been calculated from the disaggregated costs noted in the source.  The fiscal entry denotes those costs which fall to government and the public sector (largely NHS costs, but including administration associated with benefit claims).  Social costs are defined as 'human costs', representing a monetary estimate of the loss of quality of life.  The economic entry includes lost income to employees and the cost to employers of work reorganisation and/or recruitment, plus the cost of Employer's Liability Compulsory Insurance (less compensation pay-outs made to individuals). 
Although the source provides a robust overall estimate, individual unit costs are uncertain due to sampling variability in the injury and ill-health incidence estimates, and the use of estimates in both the ill health valuation and underlying pricing used to calculate costs.  Note that the fiscal and economic values given here differ slightly from those in the source tables - an adjustment has been necessary to ensure that the sum of fiscal and economic values equals the total financial cost quoted in the source (Table 1).  The discrepancy appears to be due to two factors: (i) rounding in the source data; and (ii) transfer payments relating to benefit savings to government vs. loss of benefits to individuals.  The latter issue has been accounted for in Table 1, but not in the fiscal and economic values shown in Tables 2 to 4.  For the unit cost database entries, the adjustment value has been divided equally across the fiscal and economic entries.
Also relevant are the entries in the 'Employment &amp; Economy' theme on sickness absence - see cost codes E&amp;E10.0, 10.1 and 10.2.</t>
  </si>
  <si>
    <t>HE3.10</t>
  </si>
  <si>
    <t>HE3.11</t>
  </si>
  <si>
    <t>HE3.12</t>
  </si>
  <si>
    <t>Costs to Britain of workplace fatalities and self reported injuries and ill health, 2018/19 (Health and Safety Executive, 2020)</t>
  </si>
  <si>
    <t>Removal of some historic entries from the Unit Costs of Health and Social Care and NHS Reference Costs, where these have been superseded by more recent related entries or were felt to be relatively superfluous.</t>
  </si>
  <si>
    <t>The range of indicative per hectare values underpinning the valuation predictions found in the ORVal tool are provided in Table 3 below. The range of values is very large reflecting spatial context, size and land covers - hence the amber RAG rating. The lowest values are for the removal of managed recreational grassland from a large rural area, whilst the highest values are for the loss of whole urban sites less than 2 hectares.</t>
  </si>
  <si>
    <t>SS7.1</t>
  </si>
  <si>
    <t>SS7.2</t>
  </si>
  <si>
    <t>SS7.3</t>
  </si>
  <si>
    <t>SS9.1</t>
  </si>
  <si>
    <t>SS9.2</t>
  </si>
  <si>
    <t>SS9.3</t>
  </si>
  <si>
    <t>SS11.3</t>
  </si>
  <si>
    <t>SS12.0.1</t>
  </si>
  <si>
    <t>SS12.0.2</t>
  </si>
  <si>
    <t>SS15.4</t>
  </si>
  <si>
    <t>SS15.5</t>
  </si>
  <si>
    <t>SS15.6</t>
  </si>
  <si>
    <t>SS15.7</t>
  </si>
  <si>
    <t>SS15.8</t>
  </si>
  <si>
    <t>SS15.9</t>
  </si>
  <si>
    <t>SS15.10</t>
  </si>
  <si>
    <t>SS15.11</t>
  </si>
  <si>
    <t>SS15.12</t>
  </si>
  <si>
    <t>SS15.13</t>
  </si>
  <si>
    <t>SS15.14</t>
  </si>
  <si>
    <t>SS15.15</t>
  </si>
  <si>
    <t>HE16.4</t>
  </si>
  <si>
    <t>SS20.1</t>
  </si>
  <si>
    <t>SS20.3</t>
  </si>
  <si>
    <t>SS20.5</t>
  </si>
  <si>
    <t>See the comment against the headline line cost entry, SS2.0.  This is the mean cost of support from fieldwork teams and centres (costed staff/centre time).  It is not incorporated into the headline cost, but can be added to it if required.</t>
  </si>
  <si>
    <t xml:space="preserve">This is a constituent element to the above cost line on the average total cost of case management processes for children in need over a six month period.  It captures the on-going social work activity to support the child and to achieve the outcomes outlined in the Child in Need or Child Protection Plan.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Note that unlike the other case management process costs, which are individual, one-off occurrences, this is a cost per month.  The quoted value is the 'standard cost' for out-of-London provision; the equivalent standard cost for London authorities is £231 per month.  The source also quotes data for a range of other scenarios, which are available in the subsidiary costs below (see entries SS5.0.3.1-SS5.0.3.6). 
Analysis of the relevant statistics returns data suggests that the average duration of ongoing support provided to a Child in Need is approximately 7.5 months, which may be used to scale this number accordingly. 
</t>
  </si>
  <si>
    <t xml:space="preserve">This is a subsidiary entry to the above cost line on the average cost of ongoing support for children in need, related specifically to children with no additional needs.  It captures the on-going social work activity to support the child and to achieve the outcomes outlined in the Child in Need or Child Protection Plan.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Note that unlike the other case management process costs, which are individual, one-off occurrences, this is a cost per month.  The quoted value is the 'standard cost' for out-of-London provision; the equivalent standard cost for London authorities is £132 per month.  
Analysis of the relevant statistics returns data suggests that the average duration of ongoing support provided to a Child in Need is approximately 7.5 months, which may be used to scale this number accordingly. 
</t>
  </si>
  <si>
    <t xml:space="preserve">This is a subsidiary entry to the above cost line on the average cost of ongoing support for children in need, related specifically to children under six.  It captures the on-going social work activity to support the child and to achieve the outcomes outlined in the Child in Need or Child Protection Plan.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Note that unlike the other case management process costs, which are individual, one-off occurrences, this is a cost per month.  The quoted value is the 'standard cost' for out-of-London provision; the equivalent standard cost for London authorities is £237 per month.  
Analysis of the relevant statistics returns data suggests that the average duration of ongoing support provided to a Child in Need is approximately 7.5 months, which may be used to scale this number accordingly. 
</t>
  </si>
  <si>
    <t xml:space="preserve">This is a subsidiary entry to the above cost line on the average cost of ongoing support for children in need, related specifically to children on a Child Protection Plan.  It captures the on-going social work activity to support the child and to achieve the outcomes outlined in the Child in Need or Child Protection Plan.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Note that unlike the other case management process costs, which are individual, one-off occurrences, this is a cost per month.  The quoted value is the 'standard cost' for out-of-London provision; the equivalent standard cost for London authorities is £325 per month.  
Analysis of the relevant statistics returns data suggests that the average duration of ongoing support for a child on a protection plan is approximately 9.7 months, which may be used to scale this number accordingly. 
</t>
  </si>
  <si>
    <t xml:space="preserve">This is a subsidiary entry to the above cost line on the average cost of ongoing support for children in need, related specifically to children under six on a Child Protection Plan.  It captures the on-going social work activity to support the child and to achieve the outcomes outlined in the Child in Need or Child Protection Plan.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Note that unlike the other case management process costs, which are individual, one-off occurrences, this is a cost per month.  The quoted value is the 'standard cost' for out-of-London provision; the equivalent standard cost for London authorities is £506 per month.  
Analysis of the relevant statistics returns data suggests that the average duration of ongoing support for a child on a protection plan is approximately 9.7 months, which may be used to scale this number accordingly. 
</t>
  </si>
  <si>
    <t xml:space="preserve">This is a subsidiary entry to the above cost line on the average cost of ongoing support for children in need, related specifically to children with emotional or behavioural difficulties (EBD).  It captures the on-going social work activity to support the child and to achieve the outcomes outlined in the Child in Need or Child Protection Plan.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Note that unlike the other case management process costs, which are individual, one-off occurrences, this is a cost per month.  The quoted value is the 'standard cost' for out-of-London provision; the equivalent standard cost for London authorities is £245 per month.  
Analysis of the relevant statistics returns data suggests that the average duration of ongoing support for a child in need is approximately 7.5 months, which may be used to scale this number accordingly. 
</t>
  </si>
  <si>
    <t xml:space="preserve">This is a subsidiary entry to the above cost line on the average cost of ongoing support for children in need, related specifically to children with emotional or behavioural difficulties (EBD) and one other factor.  It captures the on-going social work activity to support the child and to achieve the outcomes outlined in the Child in Need or Child Protection Plan.  The estimate comes from a study commissioned by the Department for Children, Schools and Families, finalised in 2010, and drawing on data from four local authorities that participated in the in-depth part of the work.  A bottom-up methodology was used, with activity-level data on key social care processes collected via focus group discussions, verification questionnaires and event records.  The average times for each post holder for the key case management processes were then derived.  Unit costs of post holder time per hour were derived from data gathered from the local authorities and include salary, salary-on costs, and overhead costs such as premises, management, HR and office running costs.  The cost from this study relates to social care management and support to the day to day needs of a case, and not additional services supplied to children and families to address their specific needs.
Note that unlike the other case management process costs, which are individual, one-off occurrences, this is a cost per month.  The quoted value is the 'standard cost' for out-of-London provision; the equivalent standard cost for London authorities is £616 per month.  
Analysis of the relevant statistics returns data suggests that the average duration of ongoing support for a child in need is approximately 7.5 months, which may be used to scale this number accordingly. 
</t>
  </si>
  <si>
    <r>
      <t xml:space="preserve">This cost is derived from the constituent costs given below, for local authority average expenditure on the residential care element of nursing care costs, and the NHS standard rate contribution towards the costs of residential nursing care for those people assessed as requiring the help of a registered nurse.  See the comment cells below for information on the derivation of the data (including the cost of the higher rate NHS contribution, which could be used if required to derive an alternative higher rate headline fiscal value of £828, at 2022-23 prices), and caveats to its robustness and transferability.  As detailed below, an estimated third of clients self-fund the (local authority) residential care element - see the comment cell for SS7.0 for the overall rationale behind the split between fiscal and economic values, which has been applied to the ongoing care costs (revenue) detailed under the constituent cost line SS12.0.1.  The same rationale does not apply to the nursing care costs outlined under SS12.0.2, which are treated solely as fiscal costs falling to the NHS.
</t>
    </r>
    <r>
      <rPr>
        <b/>
        <sz val="10"/>
        <color indexed="8"/>
        <rFont val="Arial"/>
        <family val="2"/>
      </rPr>
      <t xml:space="preserve">
Note that there can be local variance in the way that ASC-FR returns made by local authorities (adult social services) to NHS Digital are completed, hence the 'amber' flag for this cost line - local authorities can experience difficulty in attributing expenditure to the correct categories (e.g. differentiating between 'own provision' and 'provision by others', or between nursing and residential care placements).  Users are advised to seek feedback from local authority finance personnel to assess the extent to which the unit cost given compares with local experience, and are recommended to derive a specific local cost where possible.</t>
    </r>
  </si>
  <si>
    <t xml:space="preserve">This is the standard rate NHS contribution towards the costs of residential nursing care for those people assessed as requiring the help of a registered nurse.  In addition to the standard rate, for clients who moved into a care home before October 1 2007, there is also a higher rate contribution of £288 (2022/23 prices) - see the source for the criteria for receiving the higher rate payment.
</t>
  </si>
  <si>
    <t xml:space="preserve">This is the average cost per resident week in a care home for people between the ages of 18-64 with mental health problems.  The cost is derived from care and capital costs; the median cost of care alone, excluding capital, is £842 per resident week.  In addition, the source quotes a weekly cost including personal living expenses (the DWP personal allowance for people in residential care or a nursing home) of £25 per resident week (all prices quoted here are for 2020-21).  Note that this cost is for patients who are fully paid for by the local authority, whereas some patients may be fully or partly self-funding (in which case the fiscal cost should be reduced and the individual's contribution accounted for as an economic cost), and others part-funded under joint local authority-NHS arrangements.  Summary figures are also provided for residents aged 65+, with a median establishment cost per resident week of £697 (£684 mean).
The 2016 edition of the source also distinguishes between costs for local-authority own-provision (£926 per week, £951 with personal living expenses) and voluntary or private sector care homes (£687 per week, £712 with personal expenses); all in 2015-16 prices. 
</t>
  </si>
  <si>
    <t>This cost is derived from data on social services expenditure alongside data on social services activity.  Note that there can be local variance in the way that ASC-Fr returns made by local authorities (adult social services) to the Health and Social Care Information Centre (HSCIC) are completed, hence the 'amber' flag for this cost line - local authorities can experience difficulty in attributing expenditure to the correct categories (e.g. differentiating between 'own provision' and 'provision by others').  Users are advised to seek feedback from local authority finance personnel to assess the extent to which the unit cost given compares with local experience, and are recommended to derive a specific local cost where possible.
The weekly rate has been derived by multiplying the average hourly rate for local authority provision by the estimated number of service hours per user, estimated to be 7.1 hours per week by PSSRU 2021 (p.126).  A similar weekly rate can be derived for the external provider provision by multiplying the fiscal and economic values for entry SS15.2 by 7.1.  PSSRU 2021 suggests an average per week for local authority-commissioned home care of 12.8 hours.
More affluent individuals will pay for some/all of their home care costs - this element represents an economic cost to the individual, with the fiscal cost representing the domiciliary care costs paid for by the local authority.  As with residential / nursing care, we have allocated two-thirds of home care costs as a fiscal cost falling to local authorities, and the remaining third as an economic cost falling to individual self-funders (see SS7.0 for more detail on how this split is derived).</t>
  </si>
  <si>
    <t>This is the average cost per hour of home care provided by local authority in-house services.  See the comment cell to the entry at SS15.0 (and SS7.0) for the rationale behind the split between fiscal and economic costs. PSSRU 2020 suggests an average of 7.1 hours per week per individual service user (p.126), which has been used to generate the headline cost estimate; the average per week for local authority-commissioned home care was 12.8 hours (an average £413 per week, comprising £275 in fiscal costs and £138 in economic, all at 2020-21 prices).  An amber flag has been allocated for the reasons set out in the comment cell to SS15.0.</t>
  </si>
  <si>
    <t>This is the average cost per hour of home care provided by external providers.  See the comment cell to the entry at SS15.0 (and SS7.0) for the rationale behind the split between fiscal and economic costs. PSSRU 2020 suggests an average of 7.1 hours per week per individual service user (p.142), which equates to a weekly cost of £131 (fiscal cost of £87 and economic cost of £44), at 2020-21 prices; the average per week for local authority-commissioned home care was 12.8 hours (an average £236 per week, comprising £157 in fiscal costs and at £79 in economic, also at 2020-21 prices).  An amber flag has been allocated for the reasons set out in the comment cell to SS15.0.</t>
  </si>
  <si>
    <t>This is one of a series of costs covering care packages drawn from the National Evaluation of the Individual Budgets Pilot Projects (IBSEN). The study collected information on the social care service use of 1001 people across four client groups; older people, people with learning disabilities, people with mental health problems, and people with physical disabilities. For the study, the service user's needs were categorised as critical, substantial or moderate, and information was collected on a pre-specified set of services: the type of accommodation in which they usually lived, the number of hours of home care and day care received each week, and the social security benefits they received. In the IBSEN study, 281 people were aged over 65 (28% of the whole sample). Average weekly costs across the service areas/need groups were as follows: home care (£190), day care (£77), benefits (£98), and accommodation (£178). The source also provides averages across each of these areas broken down by the service users' needs. It is anticipated that there will be significant local variation for each area, hence the amber RAG rating. 
As with the other local authority-supported social care entries, there may be a split between fiscal costs paid for by the local authority, and economic costs paid for by individual self-funders (see the comment cells to SS15.0 and SS7.0 for more explanation).  The entry in this database is allocated solely as a fiscal cost, due to a lack of information on how it might be funded.</t>
  </si>
  <si>
    <t>This is one of a series of costs covering care packages drawn from the National Evaluation of the Individual Budgets Pilot Projects (IBSEN). The study collected information on the social care service use of 1001 people across four client groups; older people, people with learning disabilities, people with mental health problems, and people with physical disabilities. For the study, the service user's needs were categorised as critical, substantial or moderate, and information was collected on a pre-specified set of services: the type of accommodation in which they usually lived, the number of hours of home care and day care received each week, and the social security benefits they received. In the IBSEN study, 260 people had a learning disability (26% of the whole sample). Average weekly costs across the service areas/need groups were as follows: home care (£418), day care (£64), benefits (£145), and accommodation (£175). The source also provides averages across each of these areas broken down by the service users' needs. It is anticipated that there will be significant local variation for each area, hence the amber RAG rating. 
As with the other local authority-supported social care entries, there may be a split between fiscal costs paid for by the local authority, and economic costs paid for by individual self-funders (see the comment cells to SS15.0 and SS7.0 for more explanation).  The entry in this database is allocated solely as a fiscal cost, due to a lack of information on how it might be funded.</t>
  </si>
  <si>
    <t>This is one of a series of costs covering care packages drawn from the National Evaluation of the Individual Budgets Pilot Projects (IBSEN). The study collected information on the social care service use of 1001 people across four client groups; older people, people with learning disabilities, people with mental health problems, and people with physical disabilities. For the study, the service user's needs were categorised as critical, substantial or moderate, and information was collected on a pre-specified set of services: the type of accommodation in which they usually lived, the number of hours of home care and day care received each week, and the social security benefits they received. In the IBSEN study, 143 people had mental health problems (14% of the whole sample). Average weekly costs across the service areas/need groups were as follows: home care (£190), day care (£82), benefits (£152), and accommodation (£221). The source also provides averages across each of these areas broken down by the service users' needs. It is anticipated that there will be significant local variation for each area, hence the amber RAG rating. 
As with the other local authority-supported social care entries, there may be a split between fiscal costs paid for by the local authority, and economic costs paid for by individual self-funders (see the comment cells to SS15.0 and SS7.0 for more explanation).  The entry in this database is allocated solely as a fiscal cost, due to a lack of information on how it might be funded.</t>
  </si>
  <si>
    <t>This is one of a series of costs covering care packages drawn from the National Evaluation of the Individual Budgets Pilot Projects (IBSEN). The study collected information on the social care service use of 1001 people across four client groups; older people, people with learning disabilities, people with mental health problems, and people with physical disabilities. For the study, the service user's needs were categorised as critical, substantial or moderate, and information was collected on a pre-specified set of services: the type of accommodation in which they usually lived, the number of hours of home care and day care received each week, and the social security benefits they received. In the IBSEN study, 317 people had a physical disability (32% of the whole sample). Average weekly costs across the service areas/need groups were as follows: home care (£311), day care (£196), benefits (£184), and accommodation (£361). The source also provides averages across each of these areas broken down by the service users' needs. It is anticipated that there will be significant local variation for each area, hence the amber RAG rating. 
As with the other local authority-supported social care entries, there may be a split between fiscal costs paid for by the local authority, and economic costs paid for by individual self-funders (see the comment cells to SS15.0 and SS7.0 for more explanation).  The entry in this database is allocated solely as a fiscal cost, due to a lack of information on how it might be funded.</t>
  </si>
  <si>
    <t>This is the average cost per 3.5 hour session of local authority-provided day care, which the source quotes as a typical standard unit of day care for most local authorities; it includes capital costs (buildings, land), and local authority revenue costs.  To provide a cost per day care session, the source assumes that clients attend day care, on average, 2.5 times per week (inevitably, some service users will attend more often and others less often depending on individual circumstances).  The revenue cost to local authorities per day care attendance was £56 per week (all costs quoted here are at 2020-21 prices), excluding the wider capital costs, including these, the cost per attendance was £66, or £14 per client hour.  Information is provided on p.30 of the 2018/19 Unit Costs of Health and Social Care publication on how to apply a London multiplier.
See the comment cell to the entry at SS15.0 (and SS7.0) for the rationale behind the split between fiscal and economic costs.</t>
  </si>
  <si>
    <t>This cost is derived from data on social services expenditure alongside data on social services activity.  Note that there can be local variance in the way that PSSEx returns made by local authorities (adult social services) to the Health and Social Care Information Centre (HSCIC) are completed, hence the 'amber' flag for this cost line - local authorities can experience difficulty in attributing expenditure to the correct categories (e.g. differentiating between 'own provision' and 'provision by others', or between nursing and residential care placements).  Users are advised to seek feedback from local authority finance personnel to assess the extent to which the unit cost given compares with local experience, and are recommended to derive a specific local cost where possible.
See the comment cell to the entry at SS15.0 (and SS7.0) for the rationale behind the split between fiscal and economic costs.</t>
  </si>
  <si>
    <t>This is the cost per hour of face-to-face contact for independent sector home care provided for local authority social services on a weekday, calculated pro-rata from data on mean salary and working hours, on-costs (national insurance, pensions) and overheads (administration, management, office, training, utilities, general management and support services such as finance and HR).  The cost per hour of face-to-face contact for independent sector home care provided for private purchasers on a weekday is £34.  Variants on this overall average are given in the source for cost per hour when working weekends and night-time. 
All costs quoted are at 2020-21 prices (unless stated otherwise).</t>
  </si>
  <si>
    <t>Constituent costs are detailed below. Whilst costs associated with additional educational services have been incorporated, please note that costs related to wider social work costs (teams and centres) are not included.  An estimate from the 2014 Unit Costs of Health and Social Care (not since updated) is provided at SS2.0.3.
The source indicates that a London multiplier of 1.24 can be applied to the 'boarding out allowances' component cost (SS2.0.1).
The amber flag reflects that this is an average cost, and in reality local variables (supply of placements, and demand for care, etc.) can result in considerable variance in costs.  Users are recommended to calculate local unit costs (particularly to replace the average cost given in SS2.0.1) if data are available on the total cost of foster care and the number of children in care.</t>
  </si>
  <si>
    <t>This is the average cost per resident per week of local authority care home provision for children.  The figure quoted here is the total care package cost per resident week; it is derived from: capital costs (buildings, land) at £179 per resident week; total local authority expenditure excluding capital (e.g. including workforce costs) at £4,865 per resident week; and other costs at £14 per week (classified as 'school support', but excluding school spending) (all costs quoted at 2020-21 prices).  A London multiplier of 1.02 is quoted for the local authority element - see p.71 of the source document for further information.
The amber flag reflects that this is an average cost, and in reality local variables can result in considerable variance in costs.  Users are recommended to calculate local unit costs if data are available.</t>
  </si>
  <si>
    <t>This is the average cost per resident per week of care home provision for children by independent sector providers (voluntary and private sector-run homes).  The figure quoted here is the total care package cost per resident week; it is derived from: capital costs (buildings, land) at £179 per resident week; total expenditure excluding capital (e.g. including workforce costs) at £4,153 per resident week; and other costs at £14 (classified as 'school support', but excluding school spending) (all costs quoted at 2020-21 prices).
The amber flag reflects that this is an average cost, and in reality local variables can result in considerable variance in costs.  Users are recommended to calculate local unit costs if data are available.</t>
  </si>
  <si>
    <t>Reablement is a goals-focused intervention comprising intensive, time-limited (up to 6 weeks) assessment and therapeutic work delivered in the usual place of residence.  Its purpose is to restore / regain self-care and daily living skills for individuals at risk of needing social care support, or an increase in its intensity to continue living in their own homes.  Typically, home care reablement is a short-term intervention, generally provided to the user free of charge (hence a fiscal rather than economic cost), and aiming to maximise independent living skills.  The costs can fall to both health commissioners and local authorities.  
This is the average cost per service user for 'functional' reablement, described as the provision of services to re-enable in the areas of personal care, domestic, skills, safety, information, helping people to move about inside, health-related needs and confidence-building.  An average cost per service user for 'comprehensive' reablement of £1,568 is also quoted (also at 2020-21 prices), similar to services delivering ‘functional’ reablement, but also helping people with getting out and about, and with social activities.</t>
  </si>
  <si>
    <t>Removal of some historic entries from the Unit Costs of Health and Social Care, where these have been superseded by more recent related entries or were felt to be relatively superfluous.</t>
  </si>
  <si>
    <t>Francis Markus, Principal Researcher - Greater Manchester Strategic Initiatives</t>
  </si>
  <si>
    <t>Updated to 2022/23 cost</t>
  </si>
  <si>
    <t>Updated to 2020/21 cost</t>
  </si>
  <si>
    <t>RECREATION</t>
  </si>
  <si>
    <t>AMENITY</t>
  </si>
  <si>
    <t>Improvement in water quality status in rivers, lakes, canals and coastal waters.</t>
  </si>
  <si>
    <t>EV12.1</t>
  </si>
  <si>
    <t>EV12.2</t>
  </si>
  <si>
    <t>EV12.3</t>
  </si>
  <si>
    <t>EV12.4</t>
  </si>
  <si>
    <t>EV12.5</t>
  </si>
  <si>
    <t>EV19.1</t>
  </si>
  <si>
    <t>EV19.2</t>
  </si>
  <si>
    <t>EV19.3</t>
  </si>
  <si>
    <t>EV19.4</t>
  </si>
  <si>
    <t>EV19.5</t>
  </si>
  <si>
    <t>EV20.2</t>
  </si>
  <si>
    <t>EV20.3</t>
  </si>
  <si>
    <t>EV20.4</t>
  </si>
  <si>
    <t>EV20.5</t>
  </si>
  <si>
    <t>EV24.1</t>
  </si>
  <si>
    <t>EV27.1</t>
  </si>
  <si>
    <t>EV27.2</t>
  </si>
  <si>
    <t>EV27.3</t>
  </si>
  <si>
    <t>EV27.4</t>
  </si>
  <si>
    <t>EV27.5</t>
  </si>
  <si>
    <t>EV27.6</t>
  </si>
  <si>
    <t>EV28.1</t>
  </si>
  <si>
    <t>EV28.2</t>
  </si>
  <si>
    <t>EV29.0</t>
  </si>
  <si>
    <t>EV30.0</t>
  </si>
  <si>
    <t>EV30.1</t>
  </si>
  <si>
    <t>EV30.2</t>
  </si>
  <si>
    <t>EV31.0</t>
  </si>
  <si>
    <t>EV32.0</t>
  </si>
  <si>
    <t>EV32.1</t>
  </si>
  <si>
    <t>EV33.0</t>
  </si>
  <si>
    <t>EV33.1</t>
  </si>
  <si>
    <t>EV34.0</t>
  </si>
  <si>
    <t>EV34.1</t>
  </si>
  <si>
    <t>EV35.0</t>
  </si>
  <si>
    <t>EV36.0</t>
  </si>
  <si>
    <t>EV37.0</t>
  </si>
  <si>
    <t>EV38.0</t>
  </si>
  <si>
    <t>EV39.0</t>
  </si>
  <si>
    <t>EV40.0</t>
  </si>
  <si>
    <t>EV41.0</t>
  </si>
  <si>
    <t>EV41.1</t>
  </si>
  <si>
    <t>EV42.0</t>
  </si>
  <si>
    <t>EV42.1</t>
  </si>
  <si>
    <t>EV43.0</t>
  </si>
  <si>
    <t>EV44.0</t>
  </si>
  <si>
    <t>EV45.0</t>
  </si>
  <si>
    <t>Welfare/health benefit of reduced air pollution from vegetation ('low' value)</t>
  </si>
  <si>
    <t>Welfare/health benefit of reduced air pollution from vegetation ('high' value)</t>
  </si>
  <si>
    <t>per marginal physically active visit to greenspace</t>
  </si>
  <si>
    <t>This work is licensed under the Creative Commons Attribution 4.0 International License. To view a copy of this license, visit http://creativecommons.org/licenses/by/4.0/</t>
  </si>
  <si>
    <t>Julian Cox, Acting Assistant Director of Research (Analysis)</t>
  </si>
  <si>
    <t>Costs are 'grouped' into three categories - the groupings can be opened up and closed using the three small boxes towards the top left of the worksheet (numbered 1, 2 and 3), or for individual groups of costs, using the '+' and '-' signs to the left of many of the rows.  The three categories are:</t>
  </si>
  <si>
    <r>
      <rPr>
        <b/>
        <sz val="14"/>
        <color indexed="8"/>
        <rFont val="Arial"/>
        <family val="2"/>
      </rPr>
      <t>3. Constituent costs</t>
    </r>
    <r>
      <rPr>
        <sz val="14"/>
        <color indexed="8"/>
        <rFont val="Arial"/>
        <family val="2"/>
      </rPr>
      <t xml:space="preserve"> (entry in the 'Cost / saving detail' column is indented) - these are the constituent costs from which the 'parent' headline or subsidiary cost is derived.  The constituent costs are opened up using the third level grouping (click the '3' box).</t>
    </r>
  </si>
  <si>
    <r>
      <rPr>
        <b/>
        <sz val="14"/>
        <color indexed="8"/>
        <rFont val="Arial"/>
        <family val="2"/>
      </rPr>
      <t>• fiscal value:</t>
    </r>
    <r>
      <rPr>
        <sz val="14"/>
        <color indexed="8"/>
        <rFont val="Arial"/>
        <family val="2"/>
      </rPr>
      <t xml:space="preserve"> costs or savings that fall to public sector agencies, and relate to public expenditure (e.g. delivery of additional services or reduced health, police or education costs).  The agencies that will bear the fiscal cost or make the fiscal saving are shown in columns F and G;</t>
    </r>
  </si>
  <si>
    <r>
      <rPr>
        <b/>
        <sz val="14"/>
        <color indexed="8"/>
        <rFont val="Arial"/>
        <family val="2"/>
      </rPr>
      <t>• economic value:</t>
    </r>
    <r>
      <rPr>
        <sz val="14"/>
        <color indexed="8"/>
        <rFont val="Arial"/>
        <family val="2"/>
      </rPr>
      <t xml:space="preserve"> costs or savings that fall to individuals (e.g. relating to earnings or personal expense), employers (e.g. profit, turnover) or the wider economy (e.g. growth); and</t>
    </r>
  </si>
  <si>
    <r>
      <rPr>
        <b/>
        <sz val="14"/>
        <color indexed="8"/>
        <rFont val="Arial"/>
        <family val="2"/>
      </rPr>
      <t xml:space="preserve">• social value: </t>
    </r>
    <r>
      <rPr>
        <sz val="14"/>
        <color indexed="8"/>
        <rFont val="Arial"/>
        <family val="2"/>
      </rPr>
      <t>wider gains to individuals and/or society, such as improvements in health and wellbeing; reduced air pollution or improved environmental outcomes; better access to transport or public services; increased safety / reduced crime.</t>
    </r>
  </si>
  <si>
    <t>Note age of data.  Warning letters are generally used for relatively minor acts of anti-social behaviour and are unlikely to be effective for more serious incidents.</t>
  </si>
  <si>
    <t>Misspent Youth (New Philanthropy Capital, 2007)</t>
  </si>
  <si>
    <t>Returns to Intermediate and Low Level Vocational Qualifications (BIS, 2011), p.9 to 10</t>
  </si>
  <si>
    <t>The Economic Value of Key Qualifications (DfE, 2014)</t>
  </si>
  <si>
    <t>Net Benefits of Training Study 2011 (IER, 2011), p.67, quoted in Employer Investment in Apprenticeships and Workplace Learning: The Fifth Net Benefits of Training to Employers Study (BIS Research Paper Number 67, 2012)</t>
  </si>
  <si>
    <t>Net Benefits of Training Study 2011 (IER, 2011), p.82, quoted in Employer Investment in Apprenticeships and Workplace Learning: The Fifth Net Benefits of Training to Employers Study (BIS Research Paper Number 67, 2012)</t>
  </si>
  <si>
    <t>Net Benefits of Training Study 2011 (IER, 2011), p.98, quoted in Employer Investment in Apprenticeships and Workplace Learning: The Fifth Net Benefits of Training to Employers Study (BIS Research Paper Number 67, 2012)</t>
  </si>
  <si>
    <t>Net Benefits of Training Study 2011 (IER, 2011), p.112, quoted in Employer Investment in Apprenticeships and Workplace Learning: The Fifth Net Benefits of Training to Employers Study (BIS Research Paper Number 67, 2012)</t>
  </si>
  <si>
    <t>Net Benefits of Training Study 2011 (IER, 2011), p.128, quoted in Employer Investment in Apprenticeships and Workplace Learning: The Fifth Net Benefits of Training to Employers Study (BIS Research Paper Number 67, 2012)</t>
  </si>
  <si>
    <t>Net Benefits of Training Study 2011 (IER, 2011), p.146, quoted in Employer Investment in Apprenticeships and Workplace Learning: The Fifth Net Benefits of Training to Employers Study (BIS Research Paper Number 67, 2012)</t>
  </si>
  <si>
    <t>Net Benefits of Training Study 2011 (IER, 2011), p.39, quoted in Employer Investment in Apprenticeships and Workplace Learning: The Fifth Net Benefits of Training to Employers Study (BIS Research Paper Number 67, 2012)</t>
  </si>
  <si>
    <t>Net Benefits of Training Study 2011 (IER, 2011), p.54, quoted in Employer Investment in Apprenticeships and Workplace Learning: The Fifth Net Benefits of Training to Employers Study (BIS Research Paper Number 67, 2012)</t>
  </si>
  <si>
    <t>The impact of undergraduate degrees on lifetime earnings (DfE/IFS, 2020)</t>
  </si>
  <si>
    <t>Evaluation of Children's Centres in England (DfE, 2012), p.39</t>
  </si>
  <si>
    <t>Schools Workforce Census (DfE, 2017), Table 9e - uplifted using Eurostat</t>
  </si>
  <si>
    <t>The Economic Value of Libraries (ERS, 2014), p.45</t>
  </si>
  <si>
    <t>The Economic Value of Libraries (ERS, 2014), p.47</t>
  </si>
  <si>
    <t>The Economic Value of Libraries (ERS, 2014), p.48</t>
  </si>
  <si>
    <r>
      <t xml:space="preserve">Transactions Explorer, GOV.UK (2014)
</t>
    </r>
    <r>
      <rPr>
        <sz val="10"/>
        <rFont val="Arial"/>
        <family val="2"/>
      </rPr>
      <t>N</t>
    </r>
    <r>
      <rPr>
        <sz val="8"/>
        <rFont val="Arial"/>
        <family val="2"/>
      </rPr>
      <t>ote that the data file is no longer available; the link takes you to an archived government website where data may be available on this and related areas</t>
    </r>
  </si>
  <si>
    <t>The Green Book Central Government Guidance on Appraisal and Evaluation (2022), pg.84</t>
  </si>
  <si>
    <t>National Cost Collection: National Schedule of NHS costs - Year 2020-21 - NHS trust and NHS foundation trusts (weighted average of currency codes ASS01 and ASS02, 'AMB' worksheet)</t>
  </si>
  <si>
    <t>National Cost Collection: National Schedule of NHS costs - Year 2020-21 - NHS trust and NHS foundation trusts (currency code ASS01, 'AMB' worksheet)</t>
  </si>
  <si>
    <t>National Cost Collection: National Schedule of NHS costs - Year 2020-21 - NHS trust and NHS foundation trusts (weighted average of values against HRG code, sheet AE VB01Z to VB99Z)</t>
  </si>
  <si>
    <t>National Cost Collection: National Schedule of NHS costs - Year 2020-21 - NHS trust and NHS foundation trusts (weighted average of values against HRG code, sheet AE VB11Z)</t>
  </si>
  <si>
    <t>National Cost Collection: National Schedule of NHS costs - Year 2020-21 - NHS trust and NHS foundation trusts (weighted average of values against HRG code, sheet AE VB11Z Type 1 /  2 / 3 admitted)</t>
  </si>
  <si>
    <t>National Cost Collection: National Schedule of NHS costs - Year 2020-21 - NHS trust and NHS foundation trusts (weighted average of values against HRG code, sheet AE VB11Z Type 1 / 3/ 4 not admitted)</t>
  </si>
  <si>
    <t>National Cost Collection: National Schedule of NHS costs - Year 2020-21 - NHS trust and NHS foundation trusts (weighted average of values against HRG code, sheet AE VB01Z to VB10Z)</t>
  </si>
  <si>
    <t>National Cost Collection: National Schedule of NHS costs - Year 2020-21 - NHS trust and NHS foundation trusts (weighted average of values against HRG code, sheet AE VB01Z to VB10Z ADMITTED)</t>
  </si>
  <si>
    <t>National Cost Collection: National Schedule of NHS costs - Year 2020-21 - NHS trust and NHS foundation trusts (weighted average of values against HRG code, sheet AE VB01Z to VB10Z NON-ADMITTED)</t>
  </si>
  <si>
    <t>National Cost Collection: National Schedule of NHS costs - Year 2020-21 - NHS trust and NHS foundation trusts (weighted average of values against HRG code, sheet AE VB01Z to VB99Z ADMITTED)</t>
  </si>
  <si>
    <t>National Cost Collection: National Schedule of NHS costs - Year 2020-21 - NHS trust and NHS foundation trusts (weighted average of values against HRG code, sheet AE VB01Z to VB99Z NON-ADMITTED)</t>
  </si>
  <si>
    <t>National Cost Collection: National Schedule of NHS costs - Year 2020-21 - NHS trust and NHS foundation trusts (weighted average of all elective inpatient, non-elective inpatient [long stay] and non-elective inpatient [short stay] data)</t>
  </si>
  <si>
    <t>National Cost Collection: National Schedule of NHS costs - Year 2020-21 - NHS trust and NHS foundation trusts (weighted average of all elective inpatient data)</t>
  </si>
  <si>
    <t>National Cost Collection: National Schedule of NHS costs - Year 2020-21 - NHS trust and NHS foundation trusts (weighted average of all non-elective inpatient (long stay) and non-elective inpatient (short stay) data</t>
  </si>
  <si>
    <t>National Cost Collection: National Schedule of NHS costs - Year 2020-21 - NHS trust and NHS foundation trusts (weighted average of currency codes DZ65A to DZ65K, 'Total HRGs' worksheet)</t>
  </si>
  <si>
    <t>National Cost Collection: National Schedule of NHS costs - Year 2020-21 - NHS trust and NHS foundation trusts (weighted average of currency codes DZ15M to DZ15R, 'Total HRGs' worksheet)</t>
  </si>
  <si>
    <t xml:space="preserve">National Cost Collection: National Schedule of NHS costs - Year 2020-21 - NHS trust and NHS foundation trusts (weighted average of currency codes N08AF, N08AN, N08CF and N08CN, 'Other currencies' worksheet) </t>
  </si>
  <si>
    <t xml:space="preserve">National Cost Collection: National Schedule of NHS costs - Year 2020-21 - NHS trust and NHS foundation trusts (weighted average of currency codes HN22A to HN23E, 'Total HRGs' worksheet)  </t>
  </si>
  <si>
    <t xml:space="preserve">National Cost Collection: National Schedule of NHS costs - Year 2020-21 - NHS trust and NHS foundation trusts (weighted average of currency codes HN12A to HN13H, 'Total HRGs' worksheet)   </t>
  </si>
  <si>
    <t>National Cost Collection: National Schedule of NHS costs - Year 2020-21 - NHS trust and NHS foundation trusts (weighted average of currency codes MA52A, MA52B, MA55A, MA55B, MA56A, MA556B, 'Total HRGs' worksheet)</t>
  </si>
  <si>
    <t>National Cost Collection: National Schedule of NHS costs - Year 2020-21 - NHS trust and NHS foundation trusts (weighted average of currency codes MA50Z, MA51Z, MA53Z, MA54Z, 'Total HRGs' worksheet)</t>
  </si>
  <si>
    <t>National Cost Collection: National Schedule of NHS costs - Year 2020-21 - NHS trust and NHS foundation trusts (weighted average of currency codes MB08A, MB08B, 'Total HRGs' worksheet)</t>
  </si>
  <si>
    <t>National Cost Collection: National Schedule of NHS costs - Year 2020-21 - NHS trust and NHS foundation trusts (weighted average of all entries, 'Total Outpatient Attendance' worksheet)</t>
  </si>
  <si>
    <t>National Cost Collection: National Schedule of NHS costs - Year 2020-21 - NHS trust and NHS foundation trusts (weighted average of all entries, 'OPROC' worksheet)</t>
  </si>
  <si>
    <t>National Cost Collection: National Schedule of NHS costs - Year 2020-21 - NHS trust and NHS foundation trusts (cost code 800, 'Total Outpatient Attendance' worksheet)</t>
  </si>
  <si>
    <t>National Cost Collection: National Schedule of NHS costs - Year 2020-21 - NHS trust and NHS foundation trusts (service code 651, 'Total Outpatient Attendance' worksheet)</t>
  </si>
  <si>
    <t>National Cost Collection: National Schedule of NHS costs - Year 2020-21 - NHS trust and NHS foundation trusts (weighted average of currency codes A08A1-A08CG, 'Other currencies' worksheet)</t>
  </si>
  <si>
    <t>National Cost Collection: National Schedule of NHS costs - Year 2020-21 - NHS trust and NHS foundation trusts (service code 652, 'Total Outpatient Attendance' worksheet)</t>
  </si>
  <si>
    <t>National Cost Collection: National Schedule of NHS costs - Year 2020-21 - NHS trust and NHS foundation trusts (weighted average of all day cases, 'DC' worksheet)</t>
  </si>
  <si>
    <t>National Cost Collection: National Schedule of NHS costs - Year 2020-21 - NHS trust and NHS foundation trusts (weighted average of currency codes 'DCFRAD' ON 'CHS' worksheet)</t>
  </si>
  <si>
    <t>National Cost Collection: National Schedule of NHS costs - Year 2020-21 - NHS trust and NHS foundation trusts (weighted average of currency codes CAMHSAPC &amp; CAMHSAPCPICU, 'MH' worksheet)</t>
  </si>
  <si>
    <t>National Cost Collection: National Schedule of NHS costs - Year 2020-21 - NHS trust and NHS foundation trusts (currency code CAMHSOP, 'MH' worksheet)</t>
  </si>
  <si>
    <t>National Cost Collection: National Schedule of NHS costs - Year 2020-21 - NHS trust and NHS foundation trusts (weighted average of all currency codes, 'MHCC' worksheet)</t>
  </si>
  <si>
    <t>National Cost Collection: National Schedule of NHS costs - Year 2020-21 - NHS trust and NHS foundation trusts (weighted average of all currency codes, 'MHCCIA' worksheet)</t>
  </si>
  <si>
    <t>National Cost Collection: National Schedule of NHS costs - Year 2020-21 - NHS trust and NHS foundation trusts (weighted average of all currency codes, 'SECMHCC' worksheet)</t>
  </si>
  <si>
    <t>National Cost Collection: National Schedule of NHS costs - Year 2020-21 - NHS trust and NHS foundation trusts (MH worksheet, currency code ALCAAP)</t>
  </si>
  <si>
    <t>National Cost Collection: National Schedule of NHS costs - Year 2020-21 - NHS trust and NHS foundation trusts (MH worksheet, currency code ALCAOP)</t>
  </si>
  <si>
    <t>National Cost Collection: National Schedule of NHS costs - Year 2020-21 - NHS trust and NHS foundation trusts (MH worksheet, currency code ALCACC)</t>
  </si>
  <si>
    <t>National Cost Collection: National Schedule of NHS costs - Year 2020-21 - NHS trust and NHS foundation trusts (MH worksheet, currency code ALCCCC)</t>
  </si>
  <si>
    <t>National Cost Collection: National Schedule of NHS costs - Year 2020-21 - NHS trust and NHS foundation trusts (weighted average of values against Rehab currency code VC26Z x level 1/2/3)</t>
  </si>
  <si>
    <t>National Cost Collection: National Schedule of NHS costs - Year 2020-21 - NHS trust and NHS foundation trusts - Mental Health (currency code DRUAAP)</t>
  </si>
  <si>
    <t>National Cost Collection: National Schedule of NHS costs - Year 2020-21 - NHS trust and NHS foundation trusts - Mental Health (currency code DRUAOP)</t>
  </si>
  <si>
    <t>National Cost Collection: National Schedule of NHS costs - Year 2020-21 - NHS trust and NHS foundation trusts - Mental Health (currency code DRUACC)</t>
  </si>
  <si>
    <t>National Cost Collection: National Schedule of NHS costs - Year 2020-21 - NHS trust and NHS foundation trusts - Mental Health (currency code DRUCCC)</t>
  </si>
  <si>
    <t>National Cost Collection: National Schedule of NHS costs - Year 2020-21 - NHS trust and NHS foundation trusts (currency code ASS02, 'AMB' worksheet)</t>
  </si>
  <si>
    <t>National Cost Collection: National Schedule of NHS costs - Year 2020-21 - NHS trust and NHS foundation trusts (currency code ASC1, 'AMB' worksheet)</t>
  </si>
  <si>
    <t>National Cost Collection: National Schedule of NHS costs - Year 2020-21 - NHS trust and NHS foundation trusts (currency code ASH1, 'AMB' worksheet)</t>
  </si>
  <si>
    <t>Per 1 decibel change</t>
  </si>
  <si>
    <t>RAG ratings in column R updated if necessary to align with automated changes in the RAG entries for the ‘Year’ columns (see 'Lookups worksheet' entry below).  Hyperlinks updated if not working.</t>
  </si>
  <si>
    <t>Text updated to reflect latest version.</t>
  </si>
  <si>
    <t>Changed RAG rating for 'Year' entries to: Green, 2018/19-2022/23; Amber, 2013/14-2017/18; Red, 2012/13 and earlier.</t>
  </si>
  <si>
    <t>Populated to highlight changes made since the previous version of the database.</t>
  </si>
  <si>
    <r>
      <t xml:space="preserve">• Two updated entries on the lifetime fiscal and economic benefits associated with Graduate Level 4+ Qualification, drawing on a new source: DfE/IFS </t>
    </r>
    <r>
      <rPr>
        <i/>
        <sz val="10"/>
        <rFont val="Arial"/>
        <family val="2"/>
      </rPr>
      <t xml:space="preserve">The impact of undergraduate degrees on lifetime earnings </t>
    </r>
    <r>
      <rPr>
        <sz val="10"/>
        <rFont val="Arial"/>
        <family val="2"/>
      </rPr>
      <t xml:space="preserve">(2020).  
• Three new entries on the marginal lifetime benefit of a one-grade improvement in GCSE results, drawn from newly published DfE research: </t>
    </r>
    <r>
      <rPr>
        <i/>
        <sz val="10"/>
        <rFont val="Arial"/>
        <family val="2"/>
      </rPr>
      <t>GCSE attainment and lifetime earnings</t>
    </r>
    <r>
      <rPr>
        <sz val="10"/>
        <rFont val="Arial"/>
        <family val="2"/>
      </rPr>
      <t>.</t>
    </r>
  </si>
  <si>
    <r>
      <t xml:space="preserve">Routine updates from the following annual publications:
• </t>
    </r>
    <r>
      <rPr>
        <i/>
        <sz val="10"/>
        <rFont val="Arial"/>
        <family val="2"/>
      </rPr>
      <t>Unit Costs of Health and Social Care 2021</t>
    </r>
    <r>
      <rPr>
        <sz val="10"/>
        <rFont val="Arial"/>
        <family val="2"/>
      </rPr>
      <t xml:space="preserve"> (PSSRU, 2021) (and some entries from the 2020 edition)
• </t>
    </r>
    <r>
      <rPr>
        <i/>
        <sz val="10"/>
        <rFont val="Arial"/>
        <family val="2"/>
      </rPr>
      <t>National Cost Collection: National Schedule of Reference Costs - Year 2020-21 - NHS trusts and NHS foundation trusts</t>
    </r>
    <r>
      <rPr>
        <sz val="10"/>
        <rFont val="Arial"/>
        <family val="2"/>
      </rPr>
      <t xml:space="preserve"> (and some entries from the 2019-20 and 2020-21 edition)
• </t>
    </r>
    <r>
      <rPr>
        <i/>
        <sz val="10"/>
        <rFont val="Arial"/>
        <family val="2"/>
      </rPr>
      <t>Costs to Britain of workplace fatalities and self reported injuries and ill health, 2018/19</t>
    </r>
    <r>
      <rPr>
        <sz val="10"/>
        <rFont val="Arial"/>
        <family val="2"/>
      </rPr>
      <t xml:space="preserve"> (Health and Safety Executive, 2020).</t>
    </r>
  </si>
  <si>
    <r>
      <t xml:space="preserve">New entries on the public value (combining fiscal, economic and social costs) associated with a range of mental health conditions, for all ages, sourced from </t>
    </r>
    <r>
      <rPr>
        <i/>
        <sz val="10"/>
        <rFont val="Arial"/>
        <family val="2"/>
      </rPr>
      <t>The economic case for investing in the prevention of mental health conditions in the UK</t>
    </r>
    <r>
      <rPr>
        <sz val="10"/>
        <rFont val="Arial"/>
        <family val="2"/>
      </rPr>
      <t xml:space="preserve"> (London School of Economics and Political Science, 2022).</t>
    </r>
  </si>
  <si>
    <r>
      <t xml:space="preserve">New wellbeing entry on Increased life satisfaction, drawn from newly published research by HM Treasury and the Social Impacts Task Force: </t>
    </r>
    <r>
      <rPr>
        <i/>
        <sz val="10"/>
        <rFont val="Arial"/>
        <family val="2"/>
      </rPr>
      <t>Wellbeing Guidance for Appraisal: Supplementary Green Book Guidance</t>
    </r>
    <r>
      <rPr>
        <sz val="10"/>
        <rFont val="Arial"/>
        <family val="2"/>
      </rPr>
      <t>.</t>
    </r>
  </si>
  <si>
    <r>
      <t xml:space="preserve">Routine updates from the following annual publications:
• </t>
    </r>
    <r>
      <rPr>
        <i/>
        <sz val="10"/>
        <rFont val="Arial"/>
        <family val="2"/>
      </rPr>
      <t xml:space="preserve">Housing Benefit caseload statistics (Stat-Xplore tool): data to February 2022 </t>
    </r>
    <r>
      <rPr>
        <sz val="10"/>
        <rFont val="Arial"/>
        <family val="2"/>
      </rPr>
      <t>(DWP, 2022)
•</t>
    </r>
    <r>
      <rPr>
        <i/>
        <sz val="10"/>
        <rFont val="Arial"/>
        <family val="2"/>
      </rPr>
      <t xml:space="preserve"> Live tables on rents, lettings and tenancies</t>
    </r>
    <r>
      <rPr>
        <sz val="10"/>
        <rFont val="Arial"/>
        <family val="2"/>
      </rPr>
      <t xml:space="preserve"> (DHLUC, 2022) - Table 702</t>
    </r>
    <r>
      <rPr>
        <i/>
        <sz val="10"/>
        <rFont val="Arial"/>
        <family val="2"/>
      </rPr>
      <t xml:space="preserve">
• Local authority registered provider (LARP) social housing stock in England: stock and rents profile, 2020-21</t>
    </r>
    <r>
      <rPr>
        <sz val="10"/>
        <rFont val="Arial"/>
        <family val="2"/>
      </rPr>
      <t xml:space="preserve"> (RSH, 2021)
•</t>
    </r>
    <r>
      <rPr>
        <i/>
        <sz val="10"/>
        <rFont val="Arial"/>
        <family val="2"/>
      </rPr>
      <t xml:space="preserve"> Private registered provider (PRP) social housing stock and rents in England - rents profile, 2020-21</t>
    </r>
    <r>
      <rPr>
        <sz val="10"/>
        <rFont val="Arial"/>
        <family val="2"/>
      </rPr>
      <t xml:space="preserve"> (RSH, 2021)
• </t>
    </r>
    <r>
      <rPr>
        <i/>
        <sz val="10"/>
        <rFont val="Arial"/>
        <family val="2"/>
      </rPr>
      <t xml:space="preserve">Private rental market summary statistics in England - April 2021 to March 2022 </t>
    </r>
    <r>
      <rPr>
        <sz val="10"/>
        <rFont val="Arial"/>
        <family val="2"/>
      </rPr>
      <t xml:space="preserve">(ONS, 2022)
• </t>
    </r>
    <r>
      <rPr>
        <i/>
        <sz val="10"/>
        <rFont val="Arial"/>
        <family val="2"/>
      </rPr>
      <t>Value for money metrics and reporting 2021 - Annex to 2021 Global Accounts</t>
    </r>
    <r>
      <rPr>
        <sz val="10"/>
        <rFont val="Arial"/>
        <family val="2"/>
      </rPr>
      <t xml:space="preserve"> (Regulator of Social Housing, 2022).</t>
    </r>
  </si>
  <si>
    <r>
      <t xml:space="preserve">Routine updates from the following annual publications: 
• DfE </t>
    </r>
    <r>
      <rPr>
        <i/>
        <sz val="10"/>
        <rFont val="Arial"/>
        <family val="2"/>
      </rPr>
      <t>Section 251</t>
    </r>
    <r>
      <rPr>
        <sz val="10"/>
        <rFont val="Arial"/>
        <family val="2"/>
      </rPr>
      <t xml:space="preserve"> data on LAC cost and 903 return data (looked after children)
• </t>
    </r>
    <r>
      <rPr>
        <i/>
        <sz val="10"/>
        <rFont val="Arial"/>
        <family val="2"/>
      </rPr>
      <t>Unit Costs of Health and Social Care 2020</t>
    </r>
    <r>
      <rPr>
        <sz val="10"/>
        <rFont val="Arial"/>
        <family val="2"/>
      </rPr>
      <t xml:space="preserve"> (PSSRU, 2021) (and some entries from the 2020 edition)
• </t>
    </r>
    <r>
      <rPr>
        <i/>
        <sz val="10"/>
        <rFont val="Arial"/>
        <family val="2"/>
      </rPr>
      <t>Adult Social Care Activity and Finance Report, England - 2020-21, Reference Data Tables</t>
    </r>
    <r>
      <rPr>
        <sz val="10"/>
        <rFont val="Arial"/>
        <family val="2"/>
      </rPr>
      <t xml:space="preserve"> (NHS Digital, 2021).</t>
    </r>
  </si>
  <si>
    <r>
      <t>Offender costs updated from the 2020/21 HMPPS publication,</t>
    </r>
    <r>
      <rPr>
        <i/>
        <sz val="10"/>
        <rFont val="Arial"/>
        <family val="2"/>
      </rPr>
      <t xml:space="preserve"> Costs per place and costs per prisoner by individual prison: HM Prison &amp; Probation Service Annual Report and Accounts 2020-21 - Management Information Addendum (MOJ, 2022)</t>
    </r>
    <r>
      <rPr>
        <sz val="10"/>
        <rFont val="Arial"/>
        <family val="2"/>
      </rPr>
      <t>.</t>
    </r>
  </si>
  <si>
    <r>
      <t xml:space="preserve">Routine updates from the following publications:
• </t>
    </r>
    <r>
      <rPr>
        <i/>
        <sz val="10"/>
        <rFont val="Arial"/>
        <family val="2"/>
      </rPr>
      <t xml:space="preserve">Damage Costs Appraisal Toolkit </t>
    </r>
    <r>
      <rPr>
        <sz val="10"/>
        <rFont val="Arial"/>
        <family val="2"/>
      </rPr>
      <t xml:space="preserve">(DEFRA, 2021)
• </t>
    </r>
    <r>
      <rPr>
        <i/>
        <sz val="10"/>
        <rFont val="Arial"/>
        <family val="2"/>
      </rPr>
      <t>Energy Consumption in the UK, 2019 Data Tables</t>
    </r>
    <r>
      <rPr>
        <sz val="10"/>
        <rFont val="Arial"/>
        <family val="2"/>
      </rPr>
      <t xml:space="preserve"> (BEIS, 2020)
• </t>
    </r>
    <r>
      <rPr>
        <i/>
        <sz val="10"/>
        <rFont val="Arial"/>
        <family val="2"/>
      </rPr>
      <t>Greenhouse gas reporting: conversion factors 2021</t>
    </r>
    <r>
      <rPr>
        <sz val="10"/>
        <rFont val="Arial"/>
        <family val="2"/>
      </rPr>
      <t xml:space="preserve"> (BEIS, 2021)
• </t>
    </r>
    <r>
      <rPr>
        <i/>
        <sz val="10"/>
        <rFont val="Arial"/>
        <family val="2"/>
      </rPr>
      <t>National Energy Efficiency Data Framework</t>
    </r>
    <r>
      <rPr>
        <sz val="10"/>
        <rFont val="Arial"/>
        <family val="2"/>
      </rPr>
      <t xml:space="preserve"> (BEIS, 2021)
• </t>
    </r>
    <r>
      <rPr>
        <i/>
        <sz val="10"/>
        <rFont val="Arial"/>
        <family val="2"/>
      </rPr>
      <t>Smart meter roll-out: cost-benefit analysis</t>
    </r>
    <r>
      <rPr>
        <sz val="10"/>
        <rFont val="Arial"/>
        <family val="2"/>
      </rPr>
      <t xml:space="preserve"> (BEIS, 2019)
• </t>
    </r>
    <r>
      <rPr>
        <i/>
        <sz val="10"/>
        <rFont val="Arial"/>
        <family val="2"/>
      </rPr>
      <t>Valuation of energy use and greenhouse gas: supplementary guidance to the HM Treasury Green Book on appraisal and 
evaluation in central government</t>
    </r>
    <r>
      <rPr>
        <sz val="10"/>
        <rFont val="Arial"/>
        <family val="2"/>
      </rPr>
      <t xml:space="preserve"> (BEIS, 2021)
• </t>
    </r>
    <r>
      <rPr>
        <i/>
        <sz val="10"/>
        <rFont val="Arial"/>
        <family val="2"/>
      </rPr>
      <t>Valuation of greenhouse gas emissions: for policy appraisal and evaluation</t>
    </r>
    <r>
      <rPr>
        <sz val="10"/>
        <rFont val="Arial"/>
        <family val="2"/>
      </rPr>
      <t xml:space="preserve"> (BEIS, 2021).
</t>
    </r>
  </si>
  <si>
    <t>No changes.</t>
  </si>
  <si>
    <t>The Comment cell in Column S of each of the thematic worksheets provides a commentary on the unit costs provided, including further information on the source and derivation of the cost / saving, underlying assumptions, and where available, alternative costs that can be used if preferred (e.g. costs for different types of client group; labour costs for different time periods or type of contact; London weightings.  Such costs are given at the price base for the source documentation, as indicated in column I; if you want to uprate to current prices, click 'Unprotect Sheet' on the 'Review' ribbon, enter the value in a blank cell in column H, K or N, and the year in the neighbouring right hand cell).  If relevant, information is also provided on the potential for double-counting with other entries in the database, and recommendations over pro-rating the cost if modelling over a shorter period than the monetised timescale.  An explanation of the overall 'RAG' (red, amber, green) rating applied to the cost in column R might also be given, highlighting any associated caveats or limitations.</t>
  </si>
  <si>
    <t>Unit Cost Database (v.2.3.1) - Introduction</t>
  </si>
  <si>
    <t>Updated summer 2022.  Changes from v.2.0 include additions to the previous Energy theme (now renamed Environment in recognition of its broader focus), plus revisions to a number of existing unit costs where the source documentation has been updated since the previous version of the database.  For more detail on the updates that have been applied, see the 'v2.3.1 update log' worksheet, and columns T and U in the individual thematic worksheets.</t>
  </si>
  <si>
    <t>Columns T and U indicate which database entries have been changed as part of the update from version 2.2 carried out in summer 2022.  Column T indicates whether a new cost has been added, or a previous cost updated (e.g. if the source documentation is released on an annual basis, further information / research has been undertaken, or the cost has been moved or renumbered as part of wider rationalisation under a particular theme).  Column U gives more detail on the changes introduced.  A summary of changes implemented for each of the themes is provided in the 'v2.3.1 update log' worksheet.</t>
  </si>
  <si>
    <t>Unit Cost Database (v.2.3.1) - Guidance</t>
  </si>
  <si>
    <t>v2.3.1 update log worksheet</t>
  </si>
  <si>
    <t>Outcome</t>
  </si>
  <si>
    <t>category</t>
  </si>
  <si>
    <t>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</si>
</sst>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yyyy/yy"/>
    <numFmt numFmtId="165" formatCode="0.0000"/>
    <numFmt numFmtId="166" formatCode="&quot;£&quot;#,##0.00"/>
    <numFmt numFmtId="167" formatCode="General_)"/>
    <numFmt numFmtId="168" formatCode="#\ ##0"/>
    <numFmt numFmtId="169" formatCode="_-&quot;£&quot;* #,##0.000_-;\-&quot;£&quot;* #,##0.000_-;_-&quot;£&quot;* &quot;-&quot;_-;_-@_-"/>
    <numFmt numFmtId="170" formatCode="_-&quot;£&quot;* #,##0.00000_-;\-&quot;£&quot;* #,##0.00000_-;_-&quot;£&quot;* &quot;-&quot;_-;_-@_-"/>
    <numFmt numFmtId="171" formatCode="_-&quot;£&quot;* #,##0.00_-;\-&quot;£&quot;* #,##0.00_-;_-&quot;£&quot;* &quot;-&quot;_-;_-@_-"/>
    <numFmt numFmtId="172" formatCode="_-&quot;£&quot;* #,##0.0000_-;\-&quot;£&quot;* #,##0.0000_-;_-&quot;£&quot;* &quot;-&quot;_-;_-@_-"/>
    <numFmt numFmtId="173" formatCode="_-&quot;£&quot;* #,##0.000000_-;\-&quot;£&quot;* #,##0.000000_-;_-&quot;£&quot;* &quot;-&quot;_-;_-@_-"/>
    <numFmt numFmtId="174" formatCode="0.000"/>
    <numFmt numFmtId="175" formatCode="0.0"/>
    <numFmt numFmtId="176" formatCode="&quot;to &quot;0.0000;&quot;to &quot;\-0.0000;&quot;to 0&quot;"/>
    <numFmt numFmtId="177" formatCode="#,##0;\-#,##0;\-"/>
    <numFmt numFmtId="178" formatCode="[&lt;0.0001]&quot;&lt;0.0001&quot;;0.0000"/>
    <numFmt numFmtId="179" formatCode="#,##0.0,,;\-#,##0.0,,;\-"/>
    <numFmt numFmtId="180" formatCode="#,##0,;\-#,##0,;\-"/>
    <numFmt numFmtId="181" formatCode="0.0%;\-0.0%;\-"/>
    <numFmt numFmtId="182" formatCode="#,##0.0,,;\-#,##0.0,,"/>
    <numFmt numFmtId="183" formatCode="#,##0,;\-#,##0,"/>
    <numFmt numFmtId="184" formatCode="0.0%;\-0.0%"/>
    <numFmt numFmtId="185" formatCode="#,##0.0_-;\(#,##0.0\);_-* &quot;-&quot;??_-"/>
    <numFmt numFmtId="186" formatCode="_-[$€-2]* #,##0.00_-;\-[$€-2]* #,##0.00_-;_-[$€-2]* &quot;-&quot;??_-"/>
    <numFmt numFmtId="187" formatCode="_-&quot;£&quot;* #,##0_-;\-&quot;£&quot;* #,##0_-;_-&quot;£&quot;* &quot;-&quot;??_-;_-@_-"/>
  </numFmts>
  <fonts count="103" x14ac:knownFonts="1">
    <font>
      <sz val="11"/>
      <color theme="1"/>
      <name val="Arial"/>
      <family val="2"/>
    </font>
    <font>
      <sz val="11"/>
      <color theme="1"/>
      <name val="Calibri"/>
      <family val="2"/>
      <scheme val="minor"/>
    </font>
    <font>
      <sz val="11"/>
      <color indexed="8"/>
      <name val="Calibri"/>
      <family val="2"/>
    </font>
    <font>
      <sz val="10"/>
      <name val="Arial"/>
      <family val="2"/>
    </font>
    <font>
      <sz val="10"/>
      <name val="Arial"/>
      <family val="2"/>
    </font>
    <font>
      <u/>
      <sz val="10"/>
      <color indexed="12"/>
      <name val="Arial"/>
      <family val="2"/>
    </font>
    <font>
      <sz val="8"/>
      <name val="Arial"/>
      <family val="2"/>
    </font>
    <font>
      <sz val="11"/>
      <color indexed="8"/>
      <name val="Arial"/>
      <family val="2"/>
    </font>
    <font>
      <sz val="10"/>
      <color indexed="8"/>
      <name val="Arial"/>
      <family val="2"/>
    </font>
    <font>
      <b/>
      <sz val="10"/>
      <color indexed="9"/>
      <name val="Arial"/>
      <family val="2"/>
    </font>
    <font>
      <b/>
      <sz val="10"/>
      <color indexed="8"/>
      <name val="Arial"/>
      <family val="2"/>
    </font>
    <font>
      <b/>
      <sz val="24"/>
      <color indexed="8"/>
      <name val="Arial"/>
      <family val="2"/>
    </font>
    <font>
      <sz val="14"/>
      <color indexed="8"/>
      <name val="Arial"/>
      <family val="2"/>
    </font>
    <font>
      <sz val="11"/>
      <color indexed="10"/>
      <name val="Arial"/>
      <family val="2"/>
    </font>
    <font>
      <u/>
      <sz val="14"/>
      <color indexed="12"/>
      <name val="Arial"/>
      <family val="2"/>
    </font>
    <font>
      <b/>
      <sz val="10"/>
      <name val="Arial"/>
      <family val="2"/>
    </font>
    <font>
      <b/>
      <sz val="14"/>
      <color indexed="8"/>
      <name val="Arial"/>
      <family val="2"/>
    </font>
    <font>
      <i/>
      <sz val="10"/>
      <color indexed="8"/>
      <name val="Arial"/>
      <family val="2"/>
    </font>
    <font>
      <sz val="9"/>
      <color indexed="18"/>
      <name val="Arial"/>
      <family val="2"/>
    </font>
    <font>
      <b/>
      <sz val="12"/>
      <color indexed="8"/>
      <name val="Arial"/>
      <family val="2"/>
    </font>
    <font>
      <sz val="10"/>
      <name val="Arial"/>
      <family val="2"/>
    </font>
    <font>
      <b/>
      <u/>
      <sz val="10"/>
      <color indexed="8"/>
      <name val="Arial"/>
      <family val="2"/>
    </font>
    <font>
      <u/>
      <sz val="10"/>
      <color indexed="8"/>
      <name val="Arial"/>
      <family val="2"/>
    </font>
    <font>
      <sz val="10"/>
      <color indexed="8"/>
      <name val="Arial"/>
      <family val="2"/>
    </font>
    <font>
      <i/>
      <sz val="14"/>
      <color indexed="8"/>
      <name val="Arial"/>
      <family val="2"/>
    </font>
    <font>
      <b/>
      <sz val="10"/>
      <color indexed="9"/>
      <name val="Arial"/>
      <family val="2"/>
    </font>
    <font>
      <sz val="10"/>
      <color indexed="23"/>
      <name val="Arial"/>
      <family val="2"/>
    </font>
    <font>
      <sz val="14"/>
      <color indexed="8"/>
      <name val="Arial"/>
      <family val="2"/>
    </font>
    <font>
      <sz val="10"/>
      <name val="System"/>
      <family val="2"/>
    </font>
    <font>
      <sz val="10"/>
      <name val="System"/>
    </font>
    <font>
      <b/>
      <sz val="11"/>
      <color theme="1"/>
      <name val="Arial"/>
      <family val="2"/>
    </font>
    <font>
      <u/>
      <sz val="10"/>
      <color theme="10"/>
      <name val="Arial"/>
      <family val="2"/>
    </font>
    <font>
      <sz val="10"/>
      <color theme="1"/>
      <name val="Arial"/>
      <family val="2"/>
    </font>
    <font>
      <i/>
      <sz val="14"/>
      <name val="Arial"/>
      <family val="2"/>
    </font>
    <font>
      <sz val="11"/>
      <name val="Arial"/>
      <family val="2"/>
    </font>
    <font>
      <sz val="14"/>
      <name val="Arial"/>
      <family val="2"/>
    </font>
    <font>
      <sz val="12"/>
      <color rgb="FFFF0000"/>
      <name val="Arial"/>
      <family val="2"/>
    </font>
    <font>
      <sz val="10"/>
      <color rgb="FFFF0000"/>
      <name val="Arial"/>
      <family val="2"/>
    </font>
    <font>
      <i/>
      <u/>
      <sz val="10"/>
      <color indexed="12"/>
      <name val="Arial"/>
      <family val="2"/>
    </font>
    <font>
      <i/>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System"/>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sz val="7"/>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color indexed="55"/>
      <name val="Arial"/>
      <family val="2"/>
    </font>
    <font>
      <b/>
      <sz val="12"/>
      <color indexed="12"/>
      <name val="Arial"/>
      <family val="2"/>
    </font>
    <font>
      <b/>
      <sz val="12"/>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6"/>
      <color indexed="23"/>
      <name val="Arial"/>
      <family val="2"/>
    </font>
    <font>
      <sz val="10"/>
      <color indexed="10"/>
      <name val="Arial"/>
      <family val="2"/>
    </font>
    <font>
      <b/>
      <sz val="11"/>
      <name val="Times New Roman"/>
      <family val="1"/>
    </font>
    <font>
      <b/>
      <sz val="18"/>
      <name val="Arial"/>
      <family val="2"/>
    </font>
    <font>
      <u/>
      <sz val="10"/>
      <color theme="10"/>
      <name val="System"/>
      <family val="2"/>
    </font>
    <font>
      <u/>
      <sz val="11"/>
      <color theme="10"/>
      <name val="Calibri"/>
      <family val="2"/>
    </font>
    <font>
      <sz val="12"/>
      <color theme="1"/>
      <name val="Arial"/>
      <family val="2"/>
    </font>
    <font>
      <sz val="8"/>
      <color rgb="FF000000"/>
      <name val="Tahoma"/>
      <family val="2"/>
    </font>
    <font>
      <sz val="9"/>
      <color rgb="FF000000"/>
      <name val="Arial"/>
      <family val="2"/>
    </font>
    <font>
      <vertAlign val="subscript"/>
      <sz val="10"/>
      <name val="Arial"/>
      <family val="2"/>
    </font>
    <font>
      <vertAlign val="subscript"/>
      <sz val="10"/>
      <color rgb="FF000000"/>
      <name val="Arial"/>
      <family val="2"/>
    </font>
    <font>
      <sz val="10"/>
      <color rgb="FF000000"/>
      <name val="Arial"/>
      <family val="2"/>
    </font>
    <font>
      <b/>
      <sz val="10"/>
      <color rgb="FF000000"/>
      <name val="Arial"/>
      <family val="2"/>
    </font>
    <font>
      <u/>
      <sz val="10"/>
      <color rgb="FF000000"/>
      <name val="Arial"/>
      <family val="2"/>
    </font>
    <font>
      <b/>
      <u/>
      <sz val="10"/>
      <color rgb="FF000000"/>
      <name val="Arial"/>
      <family val="2"/>
    </font>
    <font>
      <i/>
      <sz val="10"/>
      <color rgb="FF000000"/>
      <name val="Arial"/>
      <family val="2"/>
    </font>
    <font>
      <b/>
      <sz val="10"/>
      <color theme="1"/>
      <name val="Arial"/>
      <family val="2"/>
    </font>
    <font>
      <u/>
      <sz val="11"/>
      <color indexed="12"/>
      <name val="Arial"/>
      <family val="2"/>
    </font>
  </fonts>
  <fills count="53">
    <fill>
      <patternFill patternType="none"/>
    </fill>
    <fill>
      <patternFill patternType="gray125"/>
    </fill>
    <fill>
      <patternFill patternType="solid">
        <fgColor indexed="47"/>
        <bgColor indexed="64"/>
      </patternFill>
    </fill>
    <fill>
      <patternFill patternType="solid">
        <fgColor indexed="56"/>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
      <patternFill patternType="solid">
        <fgColor theme="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theme="0" tint="-0.14996795556505021"/>
        <bgColor indexed="64"/>
      </patternFill>
    </fill>
    <fill>
      <patternFill patternType="solid">
        <fgColor rgb="FF92D050"/>
        <bgColor indexed="64"/>
      </patternFill>
    </fill>
    <fill>
      <patternFill patternType="solid">
        <fgColor theme="8"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double">
        <color indexed="10"/>
      </left>
      <right/>
      <top style="double">
        <color indexed="10"/>
      </top>
      <bottom/>
      <diagonal/>
    </border>
    <border>
      <left/>
      <right style="double">
        <color indexed="10"/>
      </right>
      <top/>
      <bottom/>
      <diagonal/>
    </border>
    <border>
      <left style="double">
        <color indexed="10"/>
      </left>
      <right/>
      <top/>
      <bottom/>
      <diagonal/>
    </border>
    <border>
      <left style="double">
        <color indexed="10"/>
      </left>
      <right/>
      <top/>
      <bottom style="double">
        <color indexed="10"/>
      </bottom>
      <diagonal/>
    </border>
    <border>
      <left/>
      <right style="double">
        <color indexed="10"/>
      </right>
      <top/>
      <bottom style="double">
        <color indexed="10"/>
      </bottom>
      <diagonal/>
    </border>
    <border>
      <left/>
      <right/>
      <top/>
      <bottom style="double">
        <color indexed="1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double">
        <color indexed="10"/>
      </right>
      <top style="double">
        <color indexed="10"/>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1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rgb="FFFF0000"/>
      </bottom>
      <diagonal/>
    </border>
    <border>
      <left style="thin">
        <color rgb="FFB2B2B2"/>
      </left>
      <right style="thin">
        <color rgb="FFB2B2B2"/>
      </right>
      <top style="thin">
        <color rgb="FFB2B2B2"/>
      </top>
      <bottom style="thin">
        <color rgb="FFB2B2B2"/>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05">
    <xf numFmtId="0" fontId="0" fillId="0" borderId="0"/>
    <xf numFmtId="0" fontId="30" fillId="0" borderId="0" applyNumberFormat="0" applyFill="0" applyBorder="0" applyAlignment="0" applyProtection="0"/>
    <xf numFmtId="41" fontId="28"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3" fillId="0" borderId="0" applyFont="0" applyFill="0" applyBorder="0" applyAlignment="0" applyProtection="0"/>
    <xf numFmtId="0" fontId="18"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68"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0" fontId="3" fillId="0" borderId="0"/>
    <xf numFmtId="168" fontId="28" fillId="0" borderId="0"/>
    <xf numFmtId="0" fontId="2" fillId="0" borderId="0"/>
    <xf numFmtId="0" fontId="3" fillId="0" borderId="0"/>
    <xf numFmtId="168" fontId="28" fillId="0" borderId="0"/>
    <xf numFmtId="168" fontId="28" fillId="0" borderId="0"/>
    <xf numFmtId="168" fontId="28" fillId="0" borderId="0"/>
    <xf numFmtId="168" fontId="28" fillId="0" borderId="0"/>
    <xf numFmtId="168" fontId="28" fillId="0" borderId="0"/>
    <xf numFmtId="168" fontId="28" fillId="0" borderId="0"/>
    <xf numFmtId="168" fontId="28" fillId="0" borderId="0"/>
    <xf numFmtId="168" fontId="28" fillId="0" borderId="0"/>
    <xf numFmtId="168" fontId="28" fillId="0" borderId="0"/>
    <xf numFmtId="0" fontId="4" fillId="0" borderId="0"/>
    <xf numFmtId="168" fontId="28" fillId="0" borderId="0"/>
    <xf numFmtId="0" fontId="2" fillId="0" borderId="0"/>
    <xf numFmtId="0" fontId="32" fillId="0" borderId="0"/>
    <xf numFmtId="168" fontId="28" fillId="0" borderId="0"/>
    <xf numFmtId="0" fontId="2" fillId="0" borderId="0"/>
    <xf numFmtId="0" fontId="20" fillId="0" borderId="0"/>
    <xf numFmtId="168" fontId="28" fillId="0" borderId="0"/>
    <xf numFmtId="168" fontId="28" fillId="0" borderId="0"/>
    <xf numFmtId="168" fontId="28" fillId="0" borderId="0"/>
    <xf numFmtId="0" fontId="7" fillId="0" borderId="0"/>
    <xf numFmtId="9" fontId="7" fillId="0" borderId="0" applyFont="0" applyFill="0" applyBorder="0" applyAlignment="0" applyProtection="0"/>
    <xf numFmtId="0" fontId="3" fillId="0" borderId="0"/>
    <xf numFmtId="0" fontId="15" fillId="0" borderId="0" applyFont="0"/>
    <xf numFmtId="167" fontId="19" fillId="0" borderId="0"/>
    <xf numFmtId="0" fontId="3" fillId="0" borderId="0"/>
    <xf numFmtId="0" fontId="3" fillId="0" borderId="0"/>
    <xf numFmtId="0" fontId="3" fillId="0" borderId="0"/>
    <xf numFmtId="0" fontId="3" fillId="0" borderId="0"/>
    <xf numFmtId="0" fontId="57" fillId="0" borderId="21" applyNumberFormat="0" applyFill="0" applyProtection="0">
      <alignment horizontal="center"/>
    </xf>
    <xf numFmtId="175" fontId="3" fillId="0" borderId="0" applyFont="0" applyFill="0" applyBorder="0" applyProtection="0">
      <alignment horizontal="right"/>
    </xf>
    <xf numFmtId="175" fontId="3" fillId="0" borderId="0" applyFont="0" applyFill="0" applyBorder="0" applyProtection="0">
      <alignment horizontal="right"/>
    </xf>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174" fontId="3" fillId="0" borderId="0" applyFont="0" applyFill="0" applyBorder="0" applyProtection="0">
      <alignment horizontal="right"/>
    </xf>
    <xf numFmtId="174" fontId="3" fillId="0" borderId="0" applyFont="0" applyFill="0" applyBorder="0" applyProtection="0">
      <alignment horizontal="right"/>
    </xf>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165" fontId="3" fillId="0" borderId="0" applyFont="0" applyFill="0" applyBorder="0" applyProtection="0">
      <alignment horizontal="right"/>
    </xf>
    <xf numFmtId="165" fontId="3" fillId="0" borderId="0" applyFont="0" applyFill="0" applyBorder="0" applyProtection="0">
      <alignment horizontal="right"/>
    </xf>
    <xf numFmtId="0" fontId="40" fillId="1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1" fillId="10" borderId="0" applyNumberFormat="0" applyBorder="0" applyAlignment="0" applyProtection="0"/>
    <xf numFmtId="185" fontId="3" fillId="0" borderId="0" applyBorder="0"/>
    <xf numFmtId="0" fontId="42" fillId="27" borderId="22" applyNumberFormat="0" applyAlignment="0" applyProtection="0"/>
    <xf numFmtId="0" fontId="43" fillId="28" borderId="23" applyNumberFormat="0" applyAlignment="0" applyProtection="0"/>
    <xf numFmtId="165" fontId="58" fillId="0" borderId="0" applyFont="0" applyFill="0" applyBorder="0" applyProtection="0">
      <alignment horizontal="right"/>
    </xf>
    <xf numFmtId="176" fontId="58" fillId="0" borderId="0" applyFont="0" applyFill="0" applyBorder="0" applyProtection="0">
      <alignment horizontal="left"/>
    </xf>
    <xf numFmtId="43" fontId="3"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2" fillId="0" borderId="24" applyNumberFormat="0" applyBorder="0" applyAlignment="0" applyProtection="0">
      <alignment horizontal="right" vertical="center"/>
    </xf>
    <xf numFmtId="186" fontId="3" fillId="0" borderId="0" applyFont="0" applyFill="0" applyBorder="0" applyAlignment="0" applyProtection="0"/>
    <xf numFmtId="0" fontId="44" fillId="0" borderId="0" applyNumberFormat="0" applyFill="0" applyBorder="0" applyAlignment="0" applyProtection="0"/>
    <xf numFmtId="0" fontId="13" fillId="0" borderId="0">
      <alignment horizontal="right"/>
      <protection locked="0"/>
    </xf>
    <xf numFmtId="0" fontId="59" fillId="0" borderId="0">
      <alignment horizontal="left"/>
    </xf>
    <xf numFmtId="0" fontId="60"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0" fontId="45" fillId="11" borderId="0" applyNumberFormat="0" applyBorder="0" applyAlignment="0" applyProtection="0"/>
    <xf numFmtId="38" fontId="6" fillId="29" borderId="0" applyNumberFormat="0" applyBorder="0" applyAlignment="0" applyProtection="0"/>
    <xf numFmtId="0" fontId="61" fillId="30" borderId="25" applyProtection="0">
      <alignment horizontal="right"/>
    </xf>
    <xf numFmtId="0" fontId="62" fillId="30" borderId="0" applyProtection="0">
      <alignment horizontal="left"/>
    </xf>
    <xf numFmtId="0" fontId="46" fillId="0" borderId="26" applyNumberFormat="0" applyFill="0" applyAlignment="0" applyProtection="0"/>
    <xf numFmtId="0" fontId="73" fillId="0" borderId="0">
      <alignment vertical="top" wrapText="1"/>
    </xf>
    <xf numFmtId="0" fontId="73" fillId="0" borderId="0">
      <alignment vertical="top" wrapText="1"/>
    </xf>
    <xf numFmtId="0" fontId="73" fillId="0" borderId="0">
      <alignment vertical="top" wrapText="1"/>
    </xf>
    <xf numFmtId="0" fontId="73" fillId="0" borderId="0">
      <alignment vertical="top" wrapText="1"/>
    </xf>
    <xf numFmtId="0" fontId="47" fillId="0" borderId="27" applyNumberFormat="0" applyFill="0" applyAlignment="0" applyProtection="0"/>
    <xf numFmtId="177" fontId="74" fillId="0" borderId="0" applyNumberFormat="0" applyFill="0" applyAlignment="0" applyProtection="0"/>
    <xf numFmtId="0" fontId="48" fillId="0" borderId="28" applyNumberFormat="0" applyFill="0" applyAlignment="0" applyProtection="0"/>
    <xf numFmtId="177" fontId="75" fillId="0" borderId="0" applyNumberFormat="0" applyFill="0" applyAlignment="0" applyProtection="0"/>
    <xf numFmtId="0" fontId="48" fillId="0" borderId="0" applyNumberFormat="0" applyFill="0" applyBorder="0" applyAlignment="0" applyProtection="0"/>
    <xf numFmtId="177" fontId="15" fillId="0" borderId="0" applyNumberFormat="0" applyFill="0" applyAlignment="0" applyProtection="0"/>
    <xf numFmtId="177" fontId="63" fillId="0" borderId="0" applyNumberFormat="0" applyFill="0" applyAlignment="0" applyProtection="0"/>
    <xf numFmtId="177" fontId="39" fillId="0" borderId="0" applyNumberFormat="0" applyFill="0" applyAlignment="0" applyProtection="0"/>
    <xf numFmtId="177" fontId="39" fillId="0" borderId="0" applyNumberFormat="0" applyFont="0" applyFill="0" applyBorder="0" applyAlignment="0" applyProtection="0"/>
    <xf numFmtId="177" fontId="39" fillId="0" borderId="0" applyNumberFormat="0" applyFont="0" applyFill="0" applyBorder="0" applyAlignment="0" applyProtection="0"/>
    <xf numFmtId="0" fontId="8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64" fillId="0" borderId="0" applyFill="0" applyBorder="0" applyProtection="0">
      <alignment horizontal="left"/>
    </xf>
    <xf numFmtId="10" fontId="6" fillId="31" borderId="1" applyNumberFormat="0" applyBorder="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49" fillId="14" borderId="22" applyNumberFormat="0" applyAlignment="0" applyProtection="0"/>
    <xf numFmtId="0" fontId="61" fillId="0" borderId="29" applyProtection="0">
      <alignment horizontal="right"/>
    </xf>
    <xf numFmtId="0" fontId="61" fillId="0" borderId="25" applyProtection="0">
      <alignment horizontal="right"/>
    </xf>
    <xf numFmtId="0" fontId="61" fillId="0" borderId="30" applyProtection="0">
      <alignment horizontal="center"/>
      <protection locked="0"/>
    </xf>
    <xf numFmtId="0" fontId="50" fillId="0" borderId="31" applyNumberFormat="0" applyFill="0" applyAlignment="0" applyProtection="0"/>
    <xf numFmtId="0" fontId="3" fillId="0" borderId="0"/>
    <xf numFmtId="0" fontId="3" fillId="0" borderId="0"/>
    <xf numFmtId="0" fontId="3" fillId="0" borderId="0"/>
    <xf numFmtId="1" fontId="3" fillId="0" borderId="0" applyFont="0" applyFill="0" applyBorder="0" applyProtection="0">
      <alignment horizontal="right"/>
    </xf>
    <xf numFmtId="1" fontId="3" fillId="0" borderId="0" applyFont="0" applyFill="0" applyBorder="0" applyProtection="0">
      <alignment horizontal="right"/>
    </xf>
    <xf numFmtId="0" fontId="51" fillId="32"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3" fillId="0" borderId="0">
      <alignment vertical="top"/>
    </xf>
    <xf numFmtId="0" fontId="1" fillId="0" borderId="0"/>
    <xf numFmtId="0" fontId="1" fillId="0" borderId="0"/>
    <xf numFmtId="0" fontId="1" fillId="0" borderId="0"/>
    <xf numFmtId="0" fontId="1" fillId="0" borderId="0"/>
    <xf numFmtId="0"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top"/>
    </xf>
    <xf numFmtId="0" fontId="1" fillId="0" borderId="0"/>
    <xf numFmtId="0" fontId="3" fillId="0" borderId="0">
      <alignment vertical="top"/>
    </xf>
    <xf numFmtId="0" fontId="1" fillId="0" borderId="0"/>
    <xf numFmtId="0" fontId="3" fillId="0" borderId="0">
      <alignment vertical="top"/>
    </xf>
    <xf numFmtId="0" fontId="1" fillId="0" borderId="0"/>
    <xf numFmtId="0" fontId="3" fillId="0" borderId="0">
      <alignment vertical="top"/>
    </xf>
    <xf numFmtId="0" fontId="1" fillId="0" borderId="0"/>
    <xf numFmtId="168" fontId="28" fillId="0" borderId="0"/>
    <xf numFmtId="0" fontId="3" fillId="0" borderId="0">
      <alignment vertical="top"/>
    </xf>
    <xf numFmtId="0" fontId="1" fillId="0" borderId="0"/>
    <xf numFmtId="0" fontId="3" fillId="0" borderId="0">
      <alignment vertical="top"/>
    </xf>
    <xf numFmtId="0" fontId="1" fillId="0" borderId="0"/>
    <xf numFmtId="0" fontId="3" fillId="0" borderId="0">
      <alignment vertical="top"/>
    </xf>
    <xf numFmtId="0" fontId="1" fillId="0" borderId="0"/>
    <xf numFmtId="0" fontId="1" fillId="0" borderId="0"/>
    <xf numFmtId="0" fontId="3" fillId="0" borderId="0">
      <alignment vertical="top"/>
    </xf>
    <xf numFmtId="0" fontId="1" fillId="0" borderId="0"/>
    <xf numFmtId="0" fontId="2" fillId="0" borderId="0"/>
    <xf numFmtId="0" fontId="3" fillId="0" borderId="0"/>
    <xf numFmtId="0" fontId="1" fillId="0" borderId="0"/>
    <xf numFmtId="0" fontId="3" fillId="0" borderId="0">
      <alignment vertical="top"/>
    </xf>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91" fillId="0" borderId="0"/>
    <xf numFmtId="0" fontId="1" fillId="0" borderId="0"/>
    <xf numFmtId="0" fontId="91" fillId="0" borderId="0"/>
    <xf numFmtId="0" fontId="1" fillId="0" borderId="0"/>
    <xf numFmtId="0" fontId="91" fillId="0" borderId="0"/>
    <xf numFmtId="0" fontId="1" fillId="0" borderId="0"/>
    <xf numFmtId="0" fontId="91" fillId="0" borderId="0"/>
    <xf numFmtId="0" fontId="1" fillId="0" borderId="0"/>
    <xf numFmtId="0" fontId="91" fillId="0" borderId="0"/>
    <xf numFmtId="0" fontId="1" fillId="0" borderId="0"/>
    <xf numFmtId="0" fontId="91" fillId="0" borderId="0"/>
    <xf numFmtId="0" fontId="8" fillId="0" borderId="0"/>
    <xf numFmtId="0" fontId="32" fillId="0" borderId="0"/>
    <xf numFmtId="0" fontId="1" fillId="0" borderId="0"/>
    <xf numFmtId="0" fontId="2"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 fillId="0" borderId="0"/>
    <xf numFmtId="0" fontId="3"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 fillId="0" borderId="0"/>
    <xf numFmtId="0" fontId="3" fillId="0" borderId="0"/>
    <xf numFmtId="0" fontId="1" fillId="0" borderId="0"/>
    <xf numFmtId="0" fontId="3" fillId="0" borderId="0"/>
    <xf numFmtId="168" fontId="29" fillId="0" borderId="0"/>
    <xf numFmtId="0" fontId="3" fillId="0" borderId="0"/>
    <xf numFmtId="0" fontId="3" fillId="0" borderId="0"/>
    <xf numFmtId="168" fontId="28"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33" borderId="32" applyNumberFormat="0" applyFont="0" applyAlignment="0" applyProtection="0"/>
    <xf numFmtId="0" fontId="1" fillId="8" borderId="20" applyNumberFormat="0" applyFont="0" applyAlignment="0" applyProtection="0"/>
    <xf numFmtId="0" fontId="52" fillId="27" borderId="33" applyNumberFormat="0" applyAlignment="0" applyProtection="0"/>
    <xf numFmtId="40" fontId="77" fillId="4" borderId="0">
      <alignment horizontal="right"/>
    </xf>
    <xf numFmtId="0" fontId="78" fillId="4" borderId="0">
      <alignment horizontal="right"/>
    </xf>
    <xf numFmtId="0" fontId="79" fillId="4" borderId="34"/>
    <xf numFmtId="0" fontId="79" fillId="0" borderId="0" applyBorder="0">
      <alignment horizontal="centerContinuous"/>
    </xf>
    <xf numFmtId="0" fontId="80" fillId="0" borderId="0" applyBorder="0">
      <alignment horizontal="centerContinuous"/>
    </xf>
    <xf numFmtId="178" fontId="3" fillId="0" borderId="0" applyFont="0" applyFill="0" applyBorder="0" applyProtection="0">
      <alignment horizontal="right"/>
    </xf>
    <xf numFmtId="178"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2" fontId="81" fillId="2" borderId="14" applyAlignment="0" applyProtection="0">
      <protection locked="0"/>
    </xf>
    <xf numFmtId="0" fontId="82" fillId="31" borderId="14" applyNumberFormat="0" applyAlignment="0" applyProtection="0"/>
    <xf numFmtId="0" fontId="83" fillId="34" borderId="1" applyNumberFormat="0" applyAlignment="0" applyProtection="0">
      <alignment horizontal="center" vertical="center"/>
    </xf>
    <xf numFmtId="4" fontId="8" fillId="35" borderId="33" applyNumberFormat="0" applyProtection="0">
      <alignment vertical="center"/>
    </xf>
    <xf numFmtId="4" fontId="84" fillId="35" borderId="33" applyNumberFormat="0" applyProtection="0">
      <alignment vertical="center"/>
    </xf>
    <xf numFmtId="4" fontId="8" fillId="35" borderId="33" applyNumberFormat="0" applyProtection="0">
      <alignment horizontal="left" vertical="center" indent="1"/>
    </xf>
    <xf numFmtId="4" fontId="8" fillId="35" borderId="33" applyNumberFormat="0" applyProtection="0">
      <alignment horizontal="left" vertical="center" indent="1"/>
    </xf>
    <xf numFmtId="0" fontId="3" fillId="5" borderId="33" applyNumberFormat="0" applyProtection="0">
      <alignment horizontal="left" vertical="center" indent="1"/>
    </xf>
    <xf numFmtId="4" fontId="8" fillId="36" borderId="33" applyNumberFormat="0" applyProtection="0">
      <alignment horizontal="right" vertical="center"/>
    </xf>
    <xf numFmtId="4" fontId="8" fillId="37" borderId="33" applyNumberFormat="0" applyProtection="0">
      <alignment horizontal="right" vertical="center"/>
    </xf>
    <xf numFmtId="4" fontId="8" fillId="38" borderId="33" applyNumberFormat="0" applyProtection="0">
      <alignment horizontal="right" vertical="center"/>
    </xf>
    <xf numFmtId="4" fontId="8" fillId="39" borderId="33" applyNumberFormat="0" applyProtection="0">
      <alignment horizontal="right" vertical="center"/>
    </xf>
    <xf numFmtId="4" fontId="8" fillId="40" borderId="33" applyNumberFormat="0" applyProtection="0">
      <alignment horizontal="right" vertical="center"/>
    </xf>
    <xf numFmtId="4" fontId="8" fillId="41" borderId="33" applyNumberFormat="0" applyProtection="0">
      <alignment horizontal="right" vertical="center"/>
    </xf>
    <xf numFmtId="4" fontId="8" fillId="42" borderId="33" applyNumberFormat="0" applyProtection="0">
      <alignment horizontal="right" vertical="center"/>
    </xf>
    <xf numFmtId="4" fontId="8" fillId="43" borderId="33" applyNumberFormat="0" applyProtection="0">
      <alignment horizontal="right" vertical="center"/>
    </xf>
    <xf numFmtId="4" fontId="8" fillId="44" borderId="33" applyNumberFormat="0" applyProtection="0">
      <alignment horizontal="right" vertical="center"/>
    </xf>
    <xf numFmtId="4" fontId="10" fillId="45" borderId="33" applyNumberFormat="0" applyProtection="0">
      <alignment horizontal="left" vertical="center" indent="1"/>
    </xf>
    <xf numFmtId="4" fontId="8" fillId="46" borderId="35" applyNumberFormat="0" applyProtection="0">
      <alignment horizontal="left" vertical="center" indent="1"/>
    </xf>
    <xf numFmtId="4" fontId="19" fillId="47" borderId="0" applyNumberFormat="0" applyProtection="0">
      <alignment horizontal="left" vertical="center" indent="1"/>
    </xf>
    <xf numFmtId="0" fontId="3" fillId="5" borderId="33" applyNumberFormat="0" applyProtection="0">
      <alignment horizontal="left" vertical="center" indent="1"/>
    </xf>
    <xf numFmtId="4" fontId="8" fillId="46" borderId="33" applyNumberFormat="0" applyProtection="0">
      <alignment horizontal="left" vertical="center" indent="1"/>
    </xf>
    <xf numFmtId="4" fontId="8" fillId="48" borderId="33" applyNumberFormat="0" applyProtection="0">
      <alignment horizontal="left" vertical="center" indent="1"/>
    </xf>
    <xf numFmtId="0" fontId="3" fillId="48" borderId="33" applyNumberFormat="0" applyProtection="0">
      <alignment horizontal="left" vertical="center" indent="1"/>
    </xf>
    <xf numFmtId="0" fontId="3" fillId="48" borderId="33" applyNumberFormat="0" applyProtection="0">
      <alignment horizontal="left" vertical="center" indent="1"/>
    </xf>
    <xf numFmtId="0" fontId="3" fillId="34" borderId="33" applyNumberFormat="0" applyProtection="0">
      <alignment horizontal="left" vertical="center" indent="1"/>
    </xf>
    <xf numFmtId="0" fontId="3" fillId="34" borderId="33" applyNumberFormat="0" applyProtection="0">
      <alignment horizontal="left" vertical="center" indent="1"/>
    </xf>
    <xf numFmtId="0" fontId="3" fillId="29" borderId="33" applyNumberFormat="0" applyProtection="0">
      <alignment horizontal="left" vertical="center" indent="1"/>
    </xf>
    <xf numFmtId="0" fontId="3" fillId="29" borderId="33" applyNumberFormat="0" applyProtection="0">
      <alignment horizontal="left" vertical="center" indent="1"/>
    </xf>
    <xf numFmtId="0" fontId="3" fillId="5" borderId="33" applyNumberFormat="0" applyProtection="0">
      <alignment horizontal="left" vertical="center" indent="1"/>
    </xf>
    <xf numFmtId="0" fontId="3" fillId="5" borderId="33" applyNumberFormat="0" applyProtection="0">
      <alignment horizontal="left" vertical="center" indent="1"/>
    </xf>
    <xf numFmtId="4" fontId="8" fillId="31" borderId="33" applyNumberFormat="0" applyProtection="0">
      <alignment vertical="center"/>
    </xf>
    <xf numFmtId="4" fontId="84" fillId="31" borderId="33" applyNumberFormat="0" applyProtection="0">
      <alignment vertical="center"/>
    </xf>
    <xf numFmtId="4" fontId="8" fillId="31" borderId="33" applyNumberFormat="0" applyProtection="0">
      <alignment horizontal="left" vertical="center" indent="1"/>
    </xf>
    <xf numFmtId="4" fontId="8" fillId="31" borderId="33" applyNumberFormat="0" applyProtection="0">
      <alignment horizontal="left" vertical="center" indent="1"/>
    </xf>
    <xf numFmtId="4" fontId="8" fillId="46" borderId="33" applyNumberFormat="0" applyProtection="0">
      <alignment horizontal="right" vertical="center"/>
    </xf>
    <xf numFmtId="4" fontId="84" fillId="46" borderId="33" applyNumberFormat="0" applyProtection="0">
      <alignment horizontal="right" vertical="center"/>
    </xf>
    <xf numFmtId="0" fontId="3" fillId="5" borderId="33" applyNumberFormat="0" applyProtection="0">
      <alignment horizontal="left" vertical="center" indent="1"/>
    </xf>
    <xf numFmtId="0" fontId="3" fillId="5" borderId="33" applyNumberFormat="0" applyProtection="0">
      <alignment horizontal="left" vertical="center" indent="1"/>
    </xf>
    <xf numFmtId="0" fontId="85" fillId="0" borderId="0"/>
    <xf numFmtId="4" fontId="86" fillId="46" borderId="33" applyNumberFormat="0" applyProtection="0">
      <alignment horizontal="right" vertical="center"/>
    </xf>
    <xf numFmtId="0" fontId="3" fillId="0" borderId="0"/>
    <xf numFmtId="0" fontId="65" fillId="4" borderId="36">
      <alignment horizontal="center"/>
    </xf>
    <xf numFmtId="3" fontId="66" fillId="4" borderId="0"/>
    <xf numFmtId="3" fontId="65" fillId="4" borderId="0"/>
    <xf numFmtId="0" fontId="66" fillId="4" borderId="0"/>
    <xf numFmtId="0" fontId="65" fillId="4" borderId="0"/>
    <xf numFmtId="0" fontId="66" fillId="4" borderId="0">
      <alignment horizontal="center"/>
    </xf>
    <xf numFmtId="0" fontId="67" fillId="0" borderId="0">
      <alignment wrapText="1"/>
    </xf>
    <xf numFmtId="0" fontId="67" fillId="0" borderId="0">
      <alignment wrapText="1"/>
    </xf>
    <xf numFmtId="0" fontId="67" fillId="0" borderId="0">
      <alignment wrapText="1"/>
    </xf>
    <xf numFmtId="0" fontId="67" fillId="0" borderId="0">
      <alignment wrapText="1"/>
    </xf>
    <xf numFmtId="0" fontId="68" fillId="49" borderId="0">
      <alignment horizontal="right" vertical="top" wrapText="1"/>
    </xf>
    <xf numFmtId="0" fontId="68" fillId="49" borderId="0">
      <alignment horizontal="right" vertical="top" wrapText="1"/>
    </xf>
    <xf numFmtId="0" fontId="68" fillId="49" borderId="0">
      <alignment horizontal="right" vertical="top" wrapText="1"/>
    </xf>
    <xf numFmtId="0" fontId="68" fillId="49" borderId="0">
      <alignment horizontal="right" vertical="top" wrapText="1"/>
    </xf>
    <xf numFmtId="0" fontId="69" fillId="0" borderId="0"/>
    <xf numFmtId="0" fontId="69" fillId="0" borderId="0"/>
    <xf numFmtId="0" fontId="69" fillId="0" borderId="0"/>
    <xf numFmtId="0" fontId="69" fillId="0" borderId="0"/>
    <xf numFmtId="0" fontId="70" fillId="0" borderId="0"/>
    <xf numFmtId="0" fontId="70" fillId="0" borderId="0"/>
    <xf numFmtId="0" fontId="70" fillId="0" borderId="0"/>
    <xf numFmtId="0" fontId="71" fillId="0" borderId="0"/>
    <xf numFmtId="0" fontId="71" fillId="0" borderId="0"/>
    <xf numFmtId="0" fontId="71" fillId="0" borderId="0"/>
    <xf numFmtId="179" fontId="6" fillId="0" borderId="0">
      <alignment wrapText="1"/>
      <protection locked="0"/>
    </xf>
    <xf numFmtId="179" fontId="6" fillId="0" borderId="0">
      <alignment wrapText="1"/>
      <protection locked="0"/>
    </xf>
    <xf numFmtId="179" fontId="68" fillId="6" borderId="0">
      <alignment wrapText="1"/>
      <protection locked="0"/>
    </xf>
    <xf numFmtId="179" fontId="68" fillId="6" borderId="0">
      <alignment wrapText="1"/>
      <protection locked="0"/>
    </xf>
    <xf numFmtId="179" fontId="68" fillId="6" borderId="0">
      <alignment wrapText="1"/>
      <protection locked="0"/>
    </xf>
    <xf numFmtId="179" fontId="68" fillId="6" borderId="0">
      <alignment wrapText="1"/>
      <protection locked="0"/>
    </xf>
    <xf numFmtId="179" fontId="6" fillId="0" borderId="0">
      <alignment wrapText="1"/>
      <protection locked="0"/>
    </xf>
    <xf numFmtId="180" fontId="6" fillId="0" borderId="0">
      <alignment wrapText="1"/>
      <protection locked="0"/>
    </xf>
    <xf numFmtId="180" fontId="6" fillId="0" borderId="0">
      <alignment wrapText="1"/>
      <protection locked="0"/>
    </xf>
    <xf numFmtId="180" fontId="6" fillId="0" borderId="0">
      <alignment wrapText="1"/>
      <protection locked="0"/>
    </xf>
    <xf numFmtId="180" fontId="68" fillId="6" borderId="0">
      <alignment wrapText="1"/>
      <protection locked="0"/>
    </xf>
    <xf numFmtId="180" fontId="68" fillId="6" borderId="0">
      <alignment wrapText="1"/>
      <protection locked="0"/>
    </xf>
    <xf numFmtId="180" fontId="68" fillId="6" borderId="0">
      <alignment wrapText="1"/>
      <protection locked="0"/>
    </xf>
    <xf numFmtId="180" fontId="68" fillId="6" borderId="0">
      <alignment wrapText="1"/>
      <protection locked="0"/>
    </xf>
    <xf numFmtId="180" fontId="68" fillId="6" borderId="0">
      <alignment wrapText="1"/>
      <protection locked="0"/>
    </xf>
    <xf numFmtId="180" fontId="6" fillId="0" borderId="0">
      <alignment wrapText="1"/>
      <protection locked="0"/>
    </xf>
    <xf numFmtId="181" fontId="6" fillId="0" borderId="0">
      <alignment wrapText="1"/>
      <protection locked="0"/>
    </xf>
    <xf numFmtId="181" fontId="6" fillId="0" borderId="0">
      <alignment wrapText="1"/>
      <protection locked="0"/>
    </xf>
    <xf numFmtId="181" fontId="68" fillId="6" borderId="0">
      <alignment wrapText="1"/>
      <protection locked="0"/>
    </xf>
    <xf numFmtId="181" fontId="68" fillId="6" borderId="0">
      <alignment wrapText="1"/>
      <protection locked="0"/>
    </xf>
    <xf numFmtId="181" fontId="68" fillId="6" borderId="0">
      <alignment wrapText="1"/>
      <protection locked="0"/>
    </xf>
    <xf numFmtId="181" fontId="68" fillId="6" borderId="0">
      <alignment wrapText="1"/>
      <protection locked="0"/>
    </xf>
    <xf numFmtId="181" fontId="6" fillId="0" borderId="0">
      <alignment wrapText="1"/>
      <protection locked="0"/>
    </xf>
    <xf numFmtId="182" fontId="68" fillId="49" borderId="37">
      <alignment wrapText="1"/>
    </xf>
    <xf numFmtId="182" fontId="68" fillId="49" borderId="37">
      <alignment wrapText="1"/>
    </xf>
    <xf numFmtId="182" fontId="68" fillId="49" borderId="37">
      <alignment wrapText="1"/>
    </xf>
    <xf numFmtId="183" fontId="68" fillId="49" borderId="37">
      <alignment wrapText="1"/>
    </xf>
    <xf numFmtId="183" fontId="68" fillId="49" borderId="37">
      <alignment wrapText="1"/>
    </xf>
    <xf numFmtId="183" fontId="68" fillId="49" borderId="37">
      <alignment wrapText="1"/>
    </xf>
    <xf numFmtId="183" fontId="68" fillId="49" borderId="37">
      <alignment wrapText="1"/>
    </xf>
    <xf numFmtId="184" fontId="68" fillId="49" borderId="37">
      <alignment wrapText="1"/>
    </xf>
    <xf numFmtId="184" fontId="68" fillId="49" borderId="37">
      <alignment wrapText="1"/>
    </xf>
    <xf numFmtId="184" fontId="68" fillId="49" borderId="37">
      <alignment wrapText="1"/>
    </xf>
    <xf numFmtId="0" fontId="69" fillId="0" borderId="38">
      <alignment horizontal="right"/>
    </xf>
    <xf numFmtId="0" fontId="69" fillId="0" borderId="38">
      <alignment horizontal="right"/>
    </xf>
    <xf numFmtId="0" fontId="69" fillId="0" borderId="38">
      <alignment horizontal="right"/>
    </xf>
    <xf numFmtId="0" fontId="69" fillId="0" borderId="38">
      <alignment horizontal="right"/>
    </xf>
    <xf numFmtId="40" fontId="87" fillId="0" borderId="0"/>
    <xf numFmtId="0" fontId="53" fillId="0" borderId="0" applyNumberFormat="0" applyFill="0" applyBorder="0" applyAlignment="0" applyProtection="0"/>
    <xf numFmtId="0" fontId="88" fillId="0" borderId="0" applyNumberFormat="0" applyFill="0" applyBorder="0" applyProtection="0">
      <alignment horizontal="left" vertical="center" indent="10"/>
    </xf>
    <xf numFmtId="0" fontId="88" fillId="0" borderId="0" applyNumberFormat="0" applyFill="0" applyBorder="0" applyProtection="0">
      <alignment horizontal="left" vertical="center" indent="10"/>
    </xf>
    <xf numFmtId="0" fontId="54" fillId="0" borderId="39" applyNumberFormat="0" applyFill="0" applyAlignment="0" applyProtection="0"/>
    <xf numFmtId="0" fontId="55" fillId="0" borderId="0" applyNumberFormat="0" applyFill="0" applyBorder="0" applyAlignment="0" applyProtection="0"/>
    <xf numFmtId="0" fontId="6" fillId="0" borderId="0"/>
    <xf numFmtId="43" fontId="3" fillId="0" borderId="0" applyFont="0" applyFill="0" applyBorder="0" applyAlignment="0" applyProtection="0"/>
    <xf numFmtId="0" fontId="3" fillId="0" borderId="0"/>
    <xf numFmtId="44" fontId="8"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cellStyleXfs>
  <cellXfs count="328">
    <xf numFmtId="0" fontId="0" fillId="0" borderId="0" xfId="0"/>
    <xf numFmtId="0" fontId="35" fillId="2" borderId="0" xfId="0" applyFont="1" applyFill="1" applyBorder="1" applyAlignment="1">
      <alignment vertical="center" wrapText="1"/>
    </xf>
    <xf numFmtId="0" fontId="12" fillId="2" borderId="0" xfId="0" applyFont="1" applyFill="1" applyBorder="1" applyAlignment="1">
      <alignment wrapText="1"/>
    </xf>
    <xf numFmtId="0" fontId="8" fillId="0" borderId="1" xfId="0" applyFont="1" applyBorder="1"/>
    <xf numFmtId="0" fontId="3" fillId="0" borderId="1" xfId="0" applyFont="1" applyFill="1" applyBorder="1" applyAlignment="1">
      <alignment horizontal="left" vertical="top" wrapText="1"/>
    </xf>
    <xf numFmtId="0" fontId="8" fillId="0" borderId="0" xfId="0" applyFont="1"/>
    <xf numFmtId="0" fontId="8" fillId="0" borderId="0" xfId="51" applyFont="1"/>
    <xf numFmtId="2" fontId="8" fillId="0" borderId="0" xfId="51" applyNumberFormat="1" applyFont="1"/>
    <xf numFmtId="0" fontId="8" fillId="0" borderId="1" xfId="51" applyFont="1" applyBorder="1"/>
    <xf numFmtId="0" fontId="8" fillId="0" borderId="1" xfId="0" applyFont="1" applyBorder="1" applyAlignment="1">
      <alignment horizontal="center"/>
    </xf>
    <xf numFmtId="0" fontId="8" fillId="0" borderId="0" xfId="51" applyFont="1" applyAlignment="1">
      <alignment horizontal="right"/>
    </xf>
    <xf numFmtId="42" fontId="3" fillId="0" borderId="1"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4" fontId="3" fillId="0" borderId="1" xfId="0" applyNumberFormat="1" applyFont="1" applyFill="1" applyBorder="1" applyAlignment="1">
      <alignment horizontal="left" vertical="top" wrapText="1"/>
    </xf>
    <xf numFmtId="42" fontId="8" fillId="0" borderId="1" xfId="0" applyNumberFormat="1" applyFont="1" applyFill="1" applyBorder="1" applyAlignment="1">
      <alignment horizontal="left" vertical="top" wrapText="1"/>
    </xf>
    <xf numFmtId="0" fontId="8" fillId="0" borderId="1" xfId="0" applyFont="1" applyBorder="1" applyAlignment="1">
      <alignment horizontal="center" vertical="top" wrapText="1"/>
    </xf>
    <xf numFmtId="0" fontId="13" fillId="0" borderId="0" xfId="0" applyFont="1"/>
    <xf numFmtId="42" fontId="8" fillId="0" borderId="1" xfId="0" applyNumberFormat="1" applyFont="1" applyBorder="1" applyAlignment="1" applyProtection="1">
      <alignment horizontal="left" vertical="top" wrapText="1"/>
      <protection hidden="1"/>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0" borderId="0" xfId="0" applyBorder="1"/>
    <xf numFmtId="0" fontId="0" fillId="2" borderId="0" xfId="0" applyFill="1" applyBorder="1"/>
    <xf numFmtId="0" fontId="12" fillId="2" borderId="0" xfId="0" applyFont="1" applyFill="1" applyBorder="1" applyAlignment="1">
      <alignment horizontal="left"/>
    </xf>
    <xf numFmtId="0" fontId="14" fillId="2" borderId="0" xfId="10" applyFont="1" applyFill="1" applyBorder="1" applyAlignment="1" applyProtection="1">
      <alignment horizontal="left"/>
    </xf>
    <xf numFmtId="0" fontId="0" fillId="2" borderId="7" xfId="0" applyFill="1" applyBorder="1"/>
    <xf numFmtId="0" fontId="9" fillId="3" borderId="8" xfId="0" applyFont="1" applyFill="1" applyBorder="1" applyAlignment="1">
      <alignment horizontal="center" vertical="center"/>
    </xf>
    <xf numFmtId="0" fontId="9" fillId="3" borderId="8" xfId="51" applyFont="1" applyFill="1" applyBorder="1" applyAlignment="1">
      <alignment horizontal="center" vertical="center"/>
    </xf>
    <xf numFmtId="0" fontId="9" fillId="3" borderId="1" xfId="51" applyFont="1" applyFill="1" applyBorder="1" applyAlignment="1">
      <alignment horizontal="center" vertical="center" wrapText="1"/>
    </xf>
    <xf numFmtId="0" fontId="0" fillId="2" borderId="0" xfId="0" applyFill="1" applyBorder="1" applyAlignment="1">
      <alignment horizontal="center"/>
    </xf>
    <xf numFmtId="0" fontId="11" fillId="2" borderId="4" xfId="0" applyFont="1" applyFill="1" applyBorder="1" applyAlignment="1">
      <alignment horizontal="center" vertical="center"/>
    </xf>
    <xf numFmtId="0" fontId="0" fillId="2" borderId="3" xfId="0" applyFill="1" applyBorder="1" applyAlignment="1"/>
    <xf numFmtId="0" fontId="8" fillId="4" borderId="1" xfId="0" applyFont="1" applyFill="1" applyBorder="1" applyAlignment="1">
      <alignment horizontal="left" vertical="top" wrapText="1"/>
    </xf>
    <xf numFmtId="0" fontId="0" fillId="2" borderId="0" xfId="0" applyFill="1" applyBorder="1" applyAlignment="1"/>
    <xf numFmtId="0" fontId="8" fillId="0" borderId="0" xfId="0" applyFont="1" applyFill="1" applyAlignment="1">
      <alignment horizontal="left" vertical="top" wrapText="1"/>
    </xf>
    <xf numFmtId="0" fontId="8" fillId="0" borderId="9" xfId="0" applyFont="1" applyBorder="1"/>
    <xf numFmtId="0" fontId="10"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8" fillId="4" borderId="1" xfId="0" applyFont="1" applyFill="1" applyBorder="1" applyAlignment="1">
      <alignment horizontal="left" vertical="top" wrapText="1" indent="2"/>
    </xf>
    <xf numFmtId="0" fontId="8" fillId="5" borderId="1" xfId="0" applyFont="1" applyFill="1" applyBorder="1" applyAlignment="1">
      <alignment horizontal="left" vertical="top" wrapText="1"/>
    </xf>
    <xf numFmtId="0" fontId="8" fillId="0" borderId="1" xfId="0" applyNumberFormat="1" applyFont="1" applyFill="1" applyBorder="1" applyAlignment="1">
      <alignment horizontal="left" vertical="top" wrapText="1"/>
    </xf>
    <xf numFmtId="0" fontId="8" fillId="0" borderId="1" xfId="0" applyFont="1" applyFill="1" applyBorder="1" applyAlignment="1">
      <alignment horizontal="left" vertical="top" wrapText="1" indent="2"/>
    </xf>
    <xf numFmtId="0" fontId="0" fillId="2" borderId="10" xfId="0" applyFill="1" applyBorder="1" applyAlignment="1">
      <alignment horizontal="center"/>
    </xf>
    <xf numFmtId="42" fontId="8" fillId="0" borderId="1" xfId="5" applyNumberFormat="1" applyFont="1" applyFill="1" applyBorder="1" applyAlignment="1">
      <alignment horizontal="left" vertical="top" wrapText="1"/>
    </xf>
    <xf numFmtId="0" fontId="8" fillId="0" borderId="0" xfId="0" applyFont="1" applyAlignment="1">
      <alignment wrapText="1"/>
    </xf>
    <xf numFmtId="0" fontId="15"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Fill="1" applyBorder="1" applyAlignment="1">
      <alignment horizontal="left" vertical="top" wrapText="1" indent="2"/>
    </xf>
    <xf numFmtId="42" fontId="3" fillId="4" borderId="1" xfId="0" applyNumberFormat="1"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horizontal="left" vertical="top" wrapText="1"/>
    </xf>
    <xf numFmtId="0" fontId="3" fillId="0" borderId="1" xfId="0" applyNumberFormat="1" applyFont="1" applyFill="1" applyBorder="1" applyAlignment="1">
      <alignment horizontal="left" vertical="top" wrapText="1"/>
    </xf>
    <xf numFmtId="0" fontId="8" fillId="0" borderId="0" xfId="0" applyFont="1" applyAlignment="1">
      <alignment horizontal="left" vertical="top" wrapText="1"/>
    </xf>
    <xf numFmtId="0" fontId="8" fillId="0" borderId="1" xfId="51" applyFont="1" applyBorder="1" applyAlignment="1">
      <alignment horizontal="center" vertical="center"/>
    </xf>
    <xf numFmtId="165" fontId="8" fillId="0" borderId="1" xfId="52" applyNumberFormat="1" applyFont="1" applyBorder="1" applyAlignment="1">
      <alignment horizontal="center" vertical="center"/>
    </xf>
    <xf numFmtId="2" fontId="8" fillId="0" borderId="1" xfId="51" applyNumberFormat="1" applyFont="1" applyBorder="1" applyAlignment="1">
      <alignment horizontal="center" vertical="center"/>
    </xf>
    <xf numFmtId="164" fontId="8" fillId="0" borderId="1" xfId="51" applyNumberFormat="1" applyFont="1" applyBorder="1" applyAlignment="1">
      <alignment horizontal="center" vertical="center"/>
    </xf>
    <xf numFmtId="164" fontId="8" fillId="0" borderId="1" xfId="51" applyNumberFormat="1" applyFont="1" applyFill="1" applyBorder="1" applyAlignment="1">
      <alignment horizontal="center" vertical="center"/>
    </xf>
    <xf numFmtId="2" fontId="8" fillId="0" borderId="1" xfId="52" applyNumberFormat="1" applyFont="1" applyBorder="1" applyAlignment="1">
      <alignment horizontal="center" vertical="center"/>
    </xf>
    <xf numFmtId="0" fontId="10" fillId="0" borderId="11" xfId="51" applyFont="1" applyBorder="1" applyAlignment="1">
      <alignment horizontal="center" vertical="center"/>
    </xf>
    <xf numFmtId="0" fontId="8" fillId="0" borderId="0" xfId="0" applyFont="1" applyAlignment="1">
      <alignment vertical="top"/>
    </xf>
    <xf numFmtId="0" fontId="5" fillId="0" borderId="0" xfId="10" applyAlignment="1" applyProtection="1"/>
    <xf numFmtId="0" fontId="3" fillId="0" borderId="1" xfId="0" applyFont="1" applyBorder="1"/>
    <xf numFmtId="0" fontId="8" fillId="0" borderId="0" xfId="0" applyFont="1" applyBorder="1"/>
    <xf numFmtId="0" fontId="23" fillId="0" borderId="0" xfId="0" applyFont="1"/>
    <xf numFmtId="0" fontId="23" fillId="0" borderId="0" xfId="0" applyFont="1" applyFill="1"/>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0" xfId="0" applyFont="1" applyFill="1" applyAlignment="1">
      <alignment horizontal="left" vertical="center"/>
    </xf>
    <xf numFmtId="0" fontId="23" fillId="0" borderId="0" xfId="44" applyFont="1"/>
    <xf numFmtId="0" fontId="23" fillId="0" borderId="0" xfId="44" applyFont="1" applyFill="1"/>
    <xf numFmtId="42" fontId="8" fillId="4" borderId="1" xfId="0" applyNumberFormat="1" applyFont="1" applyFill="1" applyBorder="1" applyAlignment="1">
      <alignment horizontal="left" vertical="top" wrapText="1"/>
    </xf>
    <xf numFmtId="0" fontId="8" fillId="4" borderId="0" xfId="0" applyFont="1" applyFill="1" applyAlignment="1">
      <alignment horizontal="left" vertical="top" wrapText="1"/>
    </xf>
    <xf numFmtId="0" fontId="23" fillId="0" borderId="1" xfId="1" applyFont="1" applyFill="1" applyBorder="1" applyAlignment="1">
      <alignment horizontal="left" vertical="top" wrapText="1"/>
    </xf>
    <xf numFmtId="4" fontId="23" fillId="0" borderId="1" xfId="1" applyNumberFormat="1" applyFont="1" applyFill="1" applyBorder="1" applyAlignment="1">
      <alignment horizontal="left" vertical="top" wrapText="1"/>
    </xf>
    <xf numFmtId="0" fontId="5" fillId="0" borderId="1" xfId="10" applyBorder="1" applyAlignment="1" applyProtection="1">
      <alignment horizontal="left" vertical="top" wrapText="1"/>
    </xf>
    <xf numFmtId="0" fontId="5" fillId="4" borderId="1" xfId="10" applyFill="1" applyBorder="1" applyAlignment="1" applyProtection="1">
      <alignment horizontal="left" vertical="top" wrapText="1"/>
    </xf>
    <xf numFmtId="0" fontId="8" fillId="4" borderId="1" xfId="0" applyNumberFormat="1" applyFont="1" applyFill="1" applyBorder="1" applyAlignment="1">
      <alignment horizontal="left" vertical="top" wrapText="1"/>
    </xf>
    <xf numFmtId="0" fontId="24" fillId="2" borderId="0" xfId="0" applyFont="1" applyFill="1" applyBorder="1" applyAlignment="1">
      <alignment horizontal="left" vertical="center" wrapText="1"/>
    </xf>
    <xf numFmtId="0" fontId="10" fillId="0" borderId="12" xfId="0" applyFont="1" applyFill="1" applyBorder="1" applyAlignment="1">
      <alignment horizontal="left" vertical="top" wrapText="1"/>
    </xf>
    <xf numFmtId="0" fontId="8" fillId="0" borderId="12" xfId="0" applyFont="1" applyFill="1" applyBorder="1" applyAlignment="1">
      <alignment horizontal="left" vertical="top" wrapText="1"/>
    </xf>
    <xf numFmtId="42" fontId="8" fillId="0" borderId="12" xfId="0" applyNumberFormat="1" applyFont="1" applyFill="1" applyBorder="1" applyAlignment="1">
      <alignment horizontal="left" vertical="top" wrapText="1"/>
    </xf>
    <xf numFmtId="0" fontId="8" fillId="0" borderId="12" xfId="0" applyFont="1" applyBorder="1" applyAlignment="1">
      <alignment horizontal="center" vertical="top" wrapText="1"/>
    </xf>
    <xf numFmtId="42" fontId="8" fillId="0" borderId="12" xfId="0" applyNumberFormat="1" applyFont="1" applyBorder="1" applyAlignment="1" applyProtection="1">
      <alignment horizontal="left" vertical="top" wrapText="1"/>
      <protection hidden="1"/>
    </xf>
    <xf numFmtId="0" fontId="3" fillId="0" borderId="1" xfId="0" applyFont="1" applyBorder="1" applyAlignment="1">
      <alignment horizontal="left" vertical="top" wrapText="1"/>
    </xf>
    <xf numFmtId="0" fontId="8" fillId="0" borderId="1" xfId="0" applyFont="1" applyBorder="1" applyAlignment="1">
      <alignment wrapText="1"/>
    </xf>
    <xf numFmtId="0" fontId="0" fillId="2" borderId="0" xfId="0" applyFill="1" applyBorder="1" applyAlignment="1">
      <alignment wrapText="1"/>
    </xf>
    <xf numFmtId="0" fontId="12" fillId="2" borderId="0" xfId="0" applyFont="1" applyFill="1" applyBorder="1" applyAlignment="1">
      <alignment horizontal="left" wrapText="1" indent="1"/>
    </xf>
    <xf numFmtId="0" fontId="26" fillId="0" borderId="1" xfId="0" applyFont="1" applyFill="1" applyBorder="1" applyAlignment="1">
      <alignment horizontal="left" vertical="top" wrapText="1"/>
    </xf>
    <xf numFmtId="0" fontId="27" fillId="2" borderId="4" xfId="0" applyFont="1" applyFill="1" applyBorder="1"/>
    <xf numFmtId="0" fontId="27" fillId="2" borderId="3" xfId="0" applyFont="1" applyFill="1" applyBorder="1"/>
    <xf numFmtId="0" fontId="27" fillId="0" borderId="0" xfId="0" applyFont="1"/>
    <xf numFmtId="0" fontId="26" fillId="0" borderId="1" xfId="0" applyFont="1" applyBorder="1" applyAlignment="1">
      <alignment horizontal="left" vertical="top" wrapText="1"/>
    </xf>
    <xf numFmtId="0" fontId="10" fillId="6" borderId="1" xfId="51"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vertical="top"/>
    </xf>
    <xf numFmtId="169" fontId="8" fillId="0" borderId="1" xfId="0" applyNumberFormat="1" applyFont="1" applyFill="1" applyBorder="1" applyAlignment="1">
      <alignment horizontal="left" vertical="top" wrapText="1"/>
    </xf>
    <xf numFmtId="170" fontId="8" fillId="0" borderId="1" xfId="0" applyNumberFormat="1" applyFont="1" applyFill="1" applyBorder="1" applyAlignment="1">
      <alignment horizontal="left" vertical="top" wrapText="1"/>
    </xf>
    <xf numFmtId="0" fontId="35" fillId="2" borderId="0" xfId="0" applyFont="1" applyFill="1" applyBorder="1" applyAlignment="1">
      <alignment horizontal="left"/>
    </xf>
    <xf numFmtId="0" fontId="9" fillId="3" borderId="1" xfId="0" applyFont="1" applyFill="1" applyBorder="1" applyAlignment="1">
      <alignment horizontal="center" vertical="center"/>
    </xf>
    <xf numFmtId="0" fontId="10"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9" fillId="3" borderId="1" xfId="0" applyFont="1" applyFill="1" applyBorder="1" applyAlignment="1">
      <alignment vertical="center"/>
    </xf>
    <xf numFmtId="0" fontId="9" fillId="3" borderId="11" xfId="51" applyFont="1" applyFill="1" applyBorder="1" applyAlignment="1">
      <alignment vertical="center" wrapText="1"/>
    </xf>
    <xf numFmtId="171" fontId="8" fillId="4" borderId="1" xfId="0" applyNumberFormat="1" applyFont="1" applyFill="1" applyBorder="1" applyAlignment="1">
      <alignment horizontal="left" vertical="top" wrapText="1"/>
    </xf>
    <xf numFmtId="171" fontId="8" fillId="0" borderId="1" xfId="0" applyNumberFormat="1" applyFont="1" applyBorder="1" applyAlignment="1" applyProtection="1">
      <alignment horizontal="left" vertical="top" wrapText="1"/>
      <protection hidden="1"/>
    </xf>
    <xf numFmtId="172" fontId="8" fillId="0" borderId="1" xfId="0" applyNumberFormat="1" applyFont="1" applyBorder="1" applyAlignment="1" applyProtection="1">
      <alignment horizontal="left" vertical="top" wrapText="1"/>
      <protection hidden="1"/>
    </xf>
    <xf numFmtId="0" fontId="8" fillId="0" borderId="1" xfId="1" applyFont="1" applyFill="1" applyBorder="1" applyAlignment="1">
      <alignment horizontal="left" vertical="top" wrapText="1"/>
    </xf>
    <xf numFmtId="171" fontId="8" fillId="0" borderId="1" xfId="5" applyNumberFormat="1" applyFont="1" applyFill="1" applyBorder="1" applyAlignment="1">
      <alignment horizontal="left" vertical="top" wrapText="1"/>
    </xf>
    <xf numFmtId="0" fontId="36" fillId="2" borderId="0" xfId="0" applyFont="1" applyFill="1" applyBorder="1" applyAlignment="1">
      <alignment horizontal="left"/>
    </xf>
    <xf numFmtId="0" fontId="36" fillId="2" borderId="19" xfId="0" applyFont="1" applyFill="1" applyBorder="1" applyAlignment="1">
      <alignment horizontal="left"/>
    </xf>
    <xf numFmtId="0" fontId="5" fillId="0" borderId="1" xfId="10" applyBorder="1" applyAlignment="1" applyProtection="1">
      <alignment vertical="top" wrapText="1"/>
    </xf>
    <xf numFmtId="0" fontId="37" fillId="0"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Border="1" applyAlignment="1">
      <alignment horizontal="center" vertical="top" wrapText="1"/>
    </xf>
    <xf numFmtId="42" fontId="8" fillId="0" borderId="0" xfId="0" applyNumberFormat="1" applyFont="1" applyBorder="1" applyAlignment="1" applyProtection="1">
      <alignment horizontal="left" vertical="top" wrapText="1"/>
      <protection hidden="1"/>
    </xf>
    <xf numFmtId="0" fontId="5" fillId="4" borderId="0" xfId="10" applyFill="1" applyBorder="1" applyAlignment="1" applyProtection="1">
      <alignment horizontal="left" vertical="top" wrapText="1"/>
    </xf>
    <xf numFmtId="0" fontId="8" fillId="0" borderId="0" xfId="0" applyFont="1" applyBorder="1" applyAlignment="1">
      <alignment horizontal="center" wrapText="1"/>
    </xf>
    <xf numFmtId="0" fontId="10" fillId="0" borderId="0" xfId="0" applyFont="1" applyFill="1" applyBorder="1" applyAlignment="1">
      <alignment horizontal="left" vertical="top" wrapText="1"/>
    </xf>
    <xf numFmtId="42" fontId="8" fillId="0" borderId="0" xfId="0" applyNumberFormat="1" applyFont="1" applyFill="1" applyBorder="1" applyAlignment="1">
      <alignment horizontal="left" vertical="top" wrapText="1"/>
    </xf>
    <xf numFmtId="44" fontId="8" fillId="4" borderId="1" xfId="0" applyNumberFormat="1" applyFont="1" applyFill="1" applyBorder="1" applyAlignment="1">
      <alignment horizontal="left" vertical="top" wrapText="1"/>
    </xf>
    <xf numFmtId="0" fontId="8" fillId="0" borderId="1" xfId="1" applyFont="1" applyFill="1" applyBorder="1" applyAlignment="1">
      <alignment horizontal="left" vertical="top" wrapText="1" indent="2"/>
    </xf>
    <xf numFmtId="9" fontId="8" fillId="0" borderId="1" xfId="52" applyFont="1" applyFill="1" applyBorder="1" applyAlignment="1">
      <alignment horizontal="left" vertical="top" wrapText="1" indent="2"/>
    </xf>
    <xf numFmtId="4" fontId="8" fillId="0" borderId="1" xfId="1" applyNumberFormat="1" applyFont="1" applyFill="1" applyBorder="1" applyAlignment="1">
      <alignment horizontal="left" vertical="top" wrapText="1"/>
    </xf>
    <xf numFmtId="0" fontId="0" fillId="0" borderId="0" xfId="0" applyFill="1"/>
    <xf numFmtId="169" fontId="8" fillId="4" borderId="1"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32" fillId="0" borderId="0" xfId="0" applyFont="1" applyFill="1" applyAlignment="1">
      <alignment vertical="top" wrapText="1"/>
    </xf>
    <xf numFmtId="0" fontId="8" fillId="0" borderId="1" xfId="0" applyFont="1" applyFill="1" applyBorder="1" applyAlignment="1">
      <alignment horizontal="center" vertical="top" wrapText="1"/>
    </xf>
    <xf numFmtId="0" fontId="32" fillId="0" borderId="1" xfId="0" applyFont="1" applyFill="1" applyBorder="1" applyAlignment="1">
      <alignment vertical="top" wrapText="1"/>
    </xf>
    <xf numFmtId="0" fontId="5" fillId="0" borderId="0" xfId="10" applyBorder="1" applyAlignment="1" applyProtection="1">
      <alignment horizontal="left" vertical="top" wrapText="1"/>
    </xf>
    <xf numFmtId="0" fontId="8" fillId="0" borderId="0" xfId="0" applyFont="1" applyAlignment="1">
      <alignment vertical="center"/>
    </xf>
    <xf numFmtId="0" fontId="8" fillId="0" borderId="0" xfId="0" applyFont="1" applyAlignment="1">
      <alignment horizontal="center"/>
    </xf>
    <xf numFmtId="0" fontId="8" fillId="0" borderId="0" xfId="0" applyFont="1" applyFill="1"/>
    <xf numFmtId="0" fontId="32" fillId="0" borderId="1" xfId="0" applyFont="1" applyFill="1" applyBorder="1" applyAlignment="1">
      <alignment horizontal="left" vertical="top" wrapText="1"/>
    </xf>
    <xf numFmtId="173" fontId="3" fillId="0" borderId="1" xfId="0" applyNumberFormat="1" applyFont="1" applyFill="1" applyBorder="1" applyAlignment="1">
      <alignment horizontal="left" vertical="top" wrapText="1"/>
    </xf>
    <xf numFmtId="0" fontId="3" fillId="4" borderId="1" xfId="10" applyFont="1" applyFill="1" applyBorder="1" applyAlignment="1" applyProtection="1">
      <alignment horizontal="left" vertical="top" wrapText="1"/>
    </xf>
    <xf numFmtId="0" fontId="5" fillId="0" borderId="1" xfId="10" applyFill="1" applyBorder="1" applyAlignment="1" applyProtection="1">
      <alignment horizontal="left" vertical="top" wrapText="1"/>
    </xf>
    <xf numFmtId="0" fontId="3" fillId="0" borderId="0" xfId="28" applyFont="1" applyBorder="1" applyAlignment="1">
      <alignment vertical="top"/>
    </xf>
    <xf numFmtId="0" fontId="9" fillId="3" borderId="40" xfId="28" applyFont="1" applyFill="1" applyBorder="1" applyAlignment="1">
      <alignment horizontal="left" vertical="center" wrapText="1"/>
    </xf>
    <xf numFmtId="0" fontId="9" fillId="3" borderId="42" xfId="28" applyFont="1" applyFill="1" applyBorder="1" applyAlignment="1">
      <alignment horizontal="center" vertical="center" wrapText="1"/>
    </xf>
    <xf numFmtId="0" fontId="3" fillId="0" borderId="0" xfId="28" applyFont="1" applyAlignment="1">
      <alignment vertical="top"/>
    </xf>
    <xf numFmtId="0" fontId="3" fillId="0" borderId="0" xfId="28" applyFont="1" applyBorder="1" applyAlignment="1">
      <alignment vertical="center"/>
    </xf>
    <xf numFmtId="0" fontId="3" fillId="0" borderId="0" xfId="28" applyFont="1" applyAlignment="1">
      <alignment vertical="center"/>
    </xf>
    <xf numFmtId="0" fontId="3" fillId="0" borderId="0" xfId="28" applyFont="1" applyBorder="1" applyAlignment="1">
      <alignment vertical="center" wrapText="1"/>
    </xf>
    <xf numFmtId="0" fontId="3" fillId="0" borderId="1" xfId="28" applyFont="1" applyFill="1" applyBorder="1" applyAlignment="1">
      <alignment horizontal="left" vertical="top" wrapText="1"/>
    </xf>
    <xf numFmtId="0" fontId="3" fillId="0" borderId="1" xfId="28" applyFont="1" applyFill="1" applyBorder="1" applyAlignment="1">
      <alignment horizontal="left" vertical="center" wrapText="1"/>
    </xf>
    <xf numFmtId="0" fontId="3" fillId="0" borderId="1" xfId="28" applyFont="1" applyBorder="1" applyAlignment="1">
      <alignment horizontal="left" vertical="top" wrapText="1"/>
    </xf>
    <xf numFmtId="0" fontId="3" fillId="0" borderId="0" xfId="28" applyFont="1" applyAlignment="1">
      <alignment vertical="top" wrapText="1"/>
    </xf>
    <xf numFmtId="0" fontId="3" fillId="0" borderId="0" xfId="28" applyFont="1" applyAlignment="1">
      <alignment horizontal="left" vertical="top" wrapText="1"/>
    </xf>
    <xf numFmtId="0" fontId="3" fillId="0" borderId="0" xfId="28" applyFont="1" applyAlignment="1">
      <alignment horizontal="left" vertical="top"/>
    </xf>
    <xf numFmtId="0" fontId="32" fillId="5" borderId="1" xfId="0" applyFont="1" applyFill="1" applyBorder="1" applyAlignment="1">
      <alignment horizontal="left" vertical="top" wrapText="1"/>
    </xf>
    <xf numFmtId="0" fontId="23" fillId="0" borderId="0" xfId="0" applyFont="1" applyAlignment="1">
      <alignment vertical="top"/>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42" fontId="8" fillId="0" borderId="1" xfId="0" applyNumberFormat="1" applyFont="1" applyBorder="1" applyAlignment="1">
      <alignment horizontal="left" vertical="top" wrapText="1"/>
    </xf>
    <xf numFmtId="0" fontId="37" fillId="0" borderId="0" xfId="0" applyFont="1" applyAlignment="1">
      <alignment horizontal="left" vertical="top" wrapText="1"/>
    </xf>
    <xf numFmtId="0" fontId="5" fillId="4" borderId="0" xfId="10" applyFill="1" applyAlignment="1" applyProtection="1">
      <alignment horizontal="left" vertical="top" wrapText="1"/>
    </xf>
    <xf numFmtId="4" fontId="3" fillId="0" borderId="1" xfId="0" applyNumberFormat="1" applyFont="1" applyBorder="1" applyAlignment="1">
      <alignment horizontal="left" vertical="top" wrapText="1"/>
    </xf>
    <xf numFmtId="42" fontId="3" fillId="0" borderId="1" xfId="0" applyNumberFormat="1" applyFont="1" applyBorder="1" applyAlignment="1">
      <alignment horizontal="left" vertical="top" wrapText="1"/>
    </xf>
    <xf numFmtId="2" fontId="3" fillId="7" borderId="0" xfId="0" applyNumberFormat="1" applyFont="1" applyFill="1" applyAlignment="1">
      <alignment horizontal="center"/>
    </xf>
    <xf numFmtId="175" fontId="3" fillId="7" borderId="1" xfId="0" applyNumberFormat="1" applyFont="1" applyFill="1" applyBorder="1" applyAlignment="1">
      <alignment horizontal="center"/>
    </xf>
    <xf numFmtId="171" fontId="3" fillId="0" borderId="1" xfId="0" applyNumberFormat="1" applyFont="1" applyBorder="1" applyAlignment="1">
      <alignment horizontal="left" vertical="top" wrapText="1"/>
    </xf>
    <xf numFmtId="171" fontId="8" fillId="0" borderId="1" xfId="0" applyNumberFormat="1" applyFont="1" applyBorder="1" applyAlignment="1">
      <alignment horizontal="left" vertical="top" wrapText="1"/>
    </xf>
    <xf numFmtId="170" fontId="8" fillId="0" borderId="1" xfId="0" applyNumberFormat="1" applyFont="1" applyBorder="1" applyAlignment="1">
      <alignment horizontal="left" vertical="top" wrapText="1"/>
    </xf>
    <xf numFmtId="0" fontId="8" fillId="0" borderId="1" xfId="0" applyFont="1" applyBorder="1" applyAlignment="1">
      <alignment horizontal="left" vertical="top" wrapText="1" indent="2"/>
    </xf>
    <xf numFmtId="42" fontId="8" fillId="7" borderId="1" xfId="0" applyNumberFormat="1" applyFont="1" applyFill="1" applyBorder="1" applyAlignment="1">
      <alignment horizontal="left" vertical="top" wrapText="1"/>
    </xf>
    <xf numFmtId="0" fontId="5" fillId="7" borderId="1" xfId="10" applyFill="1" applyBorder="1" applyAlignment="1" applyProtection="1">
      <alignment horizontal="left" vertical="top" wrapText="1"/>
    </xf>
    <xf numFmtId="0" fontId="3" fillId="7" borderId="1" xfId="0" applyFont="1" applyFill="1" applyBorder="1" applyAlignment="1">
      <alignment horizontal="left" vertical="top" wrapText="1"/>
    </xf>
    <xf numFmtId="166" fontId="3" fillId="0" borderId="1" xfId="0" applyNumberFormat="1" applyFont="1" applyBorder="1" applyAlignment="1" applyProtection="1">
      <alignment horizontal="left" vertical="top" wrapText="1"/>
      <protection locked="0"/>
    </xf>
    <xf numFmtId="0" fontId="3" fillId="0" borderId="1" xfId="0" applyFont="1" applyFill="1" applyBorder="1" applyAlignment="1">
      <alignment horizontal="center" vertical="top" wrapText="1"/>
    </xf>
    <xf numFmtId="0" fontId="8" fillId="0" borderId="1" xfId="0" applyFont="1" applyBorder="1" applyAlignment="1">
      <alignment horizontal="center" wrapText="1"/>
    </xf>
    <xf numFmtId="0" fontId="23" fillId="0" borderId="0" xfId="0" applyFont="1" applyAlignment="1">
      <alignment horizontal="center"/>
    </xf>
    <xf numFmtId="0" fontId="0" fillId="0" borderId="0" xfId="0" applyAlignment="1">
      <alignment horizontal="center"/>
    </xf>
    <xf numFmtId="0" fontId="8" fillId="4"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23" fillId="0" borderId="0" xfId="44" applyFont="1" applyAlignment="1">
      <alignment horizontal="center"/>
    </xf>
    <xf numFmtId="0" fontId="8" fillId="0" borderId="0" xfId="0" applyFont="1" applyFill="1" applyBorder="1" applyAlignment="1">
      <alignment horizontal="center" vertical="top" wrapText="1"/>
    </xf>
    <xf numFmtId="0" fontId="3" fillId="7" borderId="1" xfId="0" applyNumberFormat="1" applyFont="1" applyFill="1" applyBorder="1" applyAlignment="1">
      <alignment horizontal="left" vertical="top" wrapText="1"/>
    </xf>
    <xf numFmtId="171" fontId="8" fillId="0" borderId="1" xfId="0" applyNumberFormat="1" applyFont="1" applyFill="1" applyBorder="1" applyAlignment="1">
      <alignment horizontal="left" vertical="top" wrapText="1"/>
    </xf>
    <xf numFmtId="0" fontId="8" fillId="7" borderId="1" xfId="0" applyNumberFormat="1" applyFont="1" applyFill="1" applyBorder="1" applyAlignment="1">
      <alignment horizontal="left" vertical="top" wrapText="1"/>
    </xf>
    <xf numFmtId="187" fontId="8" fillId="7" borderId="1" xfId="0" applyNumberFormat="1" applyFont="1" applyFill="1" applyBorder="1" applyAlignment="1">
      <alignment horizontal="left" vertical="top" wrapText="1"/>
    </xf>
    <xf numFmtId="42" fontId="8" fillId="7" borderId="1" xfId="5" applyNumberFormat="1" applyFont="1" applyFill="1" applyBorder="1" applyAlignment="1">
      <alignment horizontal="left" vertical="top" wrapText="1"/>
    </xf>
    <xf numFmtId="0" fontId="3" fillId="50" borderId="1" xfId="0" applyFont="1" applyFill="1" applyBorder="1" applyAlignment="1">
      <alignment horizontal="left" vertical="top" wrapText="1"/>
    </xf>
    <xf numFmtId="0" fontId="3" fillId="50" borderId="1" xfId="0" applyFont="1" applyFill="1" applyBorder="1" applyAlignment="1">
      <alignment horizontal="left" vertical="top" wrapText="1" indent="3"/>
    </xf>
    <xf numFmtId="0" fontId="5" fillId="0" borderId="12" xfId="10" applyBorder="1" applyAlignment="1" applyProtection="1">
      <alignment horizontal="left" vertical="top" wrapText="1"/>
    </xf>
    <xf numFmtId="42" fontId="3" fillId="7" borderId="1" xfId="0" applyNumberFormat="1" applyFont="1" applyFill="1" applyBorder="1" applyAlignment="1">
      <alignment horizontal="left" vertical="top" wrapText="1"/>
    </xf>
    <xf numFmtId="0" fontId="32" fillId="7" borderId="1" xfId="0" applyFont="1" applyFill="1" applyBorder="1" applyAlignment="1">
      <alignment horizontal="left" vertical="top" wrapText="1"/>
    </xf>
    <xf numFmtId="0" fontId="3" fillId="0" borderId="1" xfId="28" applyFont="1" applyFill="1" applyBorder="1" applyAlignment="1">
      <alignment horizontal="center" vertical="top" wrapText="1"/>
    </xf>
    <xf numFmtId="0" fontId="9" fillId="3" borderId="41" xfId="28" applyFont="1" applyFill="1" applyBorder="1" applyAlignment="1">
      <alignment horizontal="left" vertical="center" wrapText="1"/>
    </xf>
    <xf numFmtId="0" fontId="9" fillId="3" borderId="41" xfId="28" applyFont="1" applyFill="1" applyBorder="1" applyAlignment="1">
      <alignment horizontal="left" vertical="center"/>
    </xf>
    <xf numFmtId="171" fontId="8" fillId="7" borderId="1" xfId="0" applyNumberFormat="1" applyFont="1" applyFill="1" applyBorder="1" applyAlignment="1">
      <alignment horizontal="left" vertical="top" wrapText="1"/>
    </xf>
    <xf numFmtId="172" fontId="8" fillId="7" borderId="1" xfId="0" applyNumberFormat="1" applyFont="1" applyFill="1" applyBorder="1" applyAlignment="1">
      <alignment horizontal="left" vertical="top" wrapText="1"/>
    </xf>
    <xf numFmtId="171" fontId="3" fillId="7" borderId="1" xfId="0" applyNumberFormat="1" applyFont="1" applyFill="1" applyBorder="1" applyAlignment="1">
      <alignment horizontal="left" vertical="top" wrapText="1"/>
    </xf>
    <xf numFmtId="171" fontId="8" fillId="7" borderId="1" xfId="5" applyNumberFormat="1" applyFont="1" applyFill="1" applyBorder="1" applyAlignment="1">
      <alignment horizontal="left" vertical="top" wrapText="1"/>
    </xf>
    <xf numFmtId="0" fontId="32" fillId="0" borderId="1" xfId="0" applyFont="1" applyFill="1" applyBorder="1" applyAlignment="1">
      <alignment vertical="top"/>
    </xf>
    <xf numFmtId="0" fontId="8" fillId="0" borderId="1" xfId="0" applyFont="1" applyFill="1" applyBorder="1" applyAlignment="1">
      <alignment horizontal="left" vertical="top" wrapText="1" indent="1"/>
    </xf>
    <xf numFmtId="0" fontId="37" fillId="0" borderId="0" xfId="0" applyFont="1" applyFill="1" applyAlignment="1">
      <alignment horizontal="left" vertical="top" wrapText="1"/>
    </xf>
    <xf numFmtId="0" fontId="3" fillId="7" borderId="1" xfId="28" applyFont="1" applyFill="1" applyBorder="1" applyAlignment="1">
      <alignment horizontal="left" vertical="top" wrapText="1"/>
    </xf>
    <xf numFmtId="44" fontId="8" fillId="7" borderId="1" xfId="0" applyNumberFormat="1" applyFont="1" applyFill="1" applyBorder="1" applyAlignment="1">
      <alignment horizontal="left" vertical="top" wrapText="1"/>
    </xf>
    <xf numFmtId="0" fontId="3" fillId="0" borderId="13" xfId="28" applyFont="1" applyFill="1" applyBorder="1" applyAlignment="1">
      <alignment horizontal="center" vertical="top" wrapText="1"/>
    </xf>
    <xf numFmtId="0" fontId="3" fillId="0" borderId="13" xfId="28" applyFont="1" applyFill="1" applyBorder="1" applyAlignment="1">
      <alignment horizontal="left" vertical="top" wrapText="1"/>
    </xf>
    <xf numFmtId="0" fontId="8" fillId="4" borderId="13" xfId="0" applyFont="1" applyFill="1" applyBorder="1" applyAlignment="1">
      <alignment horizontal="left" vertical="top" wrapText="1"/>
    </xf>
    <xf numFmtId="0" fontId="8" fillId="0" borderId="13" xfId="0" applyFont="1" applyBorder="1" applyAlignment="1">
      <alignment horizontal="left" vertical="top" wrapText="1"/>
    </xf>
    <xf numFmtId="0" fontId="3" fillId="0" borderId="13" xfId="0" applyFont="1" applyBorder="1" applyAlignment="1">
      <alignment horizontal="left" vertical="top" wrapText="1"/>
    </xf>
    <xf numFmtId="42" fontId="8" fillId="0" borderId="13" xfId="0" applyNumberFormat="1" applyFont="1" applyBorder="1" applyAlignment="1">
      <alignment horizontal="left" vertical="top" wrapText="1"/>
    </xf>
    <xf numFmtId="0" fontId="8" fillId="0" borderId="13" xfId="0" applyFont="1" applyBorder="1" applyAlignment="1">
      <alignment horizontal="center" vertical="top" wrapText="1"/>
    </xf>
    <xf numFmtId="42" fontId="8" fillId="0" borderId="13" xfId="0" applyNumberFormat="1" applyFont="1" applyBorder="1" applyAlignment="1" applyProtection="1">
      <alignment horizontal="left" vertical="top" wrapText="1"/>
      <protection hidden="1"/>
    </xf>
    <xf numFmtId="0" fontId="8" fillId="7" borderId="13" xfId="0" applyFont="1" applyFill="1" applyBorder="1" applyAlignment="1">
      <alignment horizontal="left" vertical="top" wrapText="1"/>
    </xf>
    <xf numFmtId="0" fontId="32" fillId="0" borderId="1" xfId="0" applyFont="1" applyBorder="1" applyAlignment="1">
      <alignment horizontal="left" vertical="top" wrapText="1"/>
    </xf>
    <xf numFmtId="0" fontId="8" fillId="51" borderId="1" xfId="0" applyFont="1" applyFill="1" applyBorder="1" applyAlignment="1">
      <alignment horizontal="center" vertical="top"/>
    </xf>
    <xf numFmtId="0" fontId="8" fillId="0" borderId="1" xfId="0" applyFont="1" applyBorder="1" applyAlignment="1">
      <alignment horizontal="center" vertical="top"/>
    </xf>
    <xf numFmtId="0" fontId="3" fillId="0" borderId="13" xfId="28" applyFont="1" applyFill="1" applyBorder="1" applyAlignment="1">
      <alignment horizontal="center" vertical="top" wrapText="1"/>
    </xf>
    <xf numFmtId="0" fontId="3" fillId="0" borderId="13" xfId="28" applyFont="1" applyFill="1" applyBorder="1" applyAlignment="1">
      <alignment horizontal="left" vertical="top" wrapText="1"/>
    </xf>
    <xf numFmtId="42" fontId="3" fillId="0" borderId="1" xfId="0" applyNumberFormat="1" applyFont="1" applyBorder="1" applyAlignment="1" applyProtection="1">
      <alignment horizontal="left" vertical="top" wrapText="1"/>
      <protection hidden="1"/>
    </xf>
    <xf numFmtId="0" fontId="3" fillId="4" borderId="0" xfId="0" applyFont="1" applyFill="1" applyAlignment="1">
      <alignment horizontal="left" vertical="top" wrapText="1"/>
    </xf>
    <xf numFmtId="0" fontId="3" fillId="4" borderId="1" xfId="0" applyFont="1" applyFill="1" applyBorder="1" applyAlignment="1">
      <alignment horizontal="left" vertical="top" wrapText="1" indent="2"/>
    </xf>
    <xf numFmtId="0" fontId="15" fillId="7" borderId="1" xfId="0" applyFont="1" applyFill="1" applyBorder="1" applyAlignment="1">
      <alignment horizontal="left" vertical="top" wrapText="1"/>
    </xf>
    <xf numFmtId="0" fontId="3" fillId="0" borderId="0" xfId="0" applyFont="1"/>
    <xf numFmtId="6" fontId="3" fillId="7" borderId="1" xfId="0" applyNumberFormat="1" applyFont="1" applyFill="1" applyBorder="1" applyAlignment="1">
      <alignment horizontal="right" vertical="top" wrapText="1"/>
    </xf>
    <xf numFmtId="42" fontId="3" fillId="7" borderId="1" xfId="5" applyNumberFormat="1" applyFont="1" applyFill="1" applyBorder="1" applyAlignment="1">
      <alignment horizontal="left" vertical="top" wrapText="1"/>
    </xf>
    <xf numFmtId="42" fontId="3" fillId="0" borderId="1" xfId="5" applyNumberFormat="1" applyFont="1" applyFill="1" applyBorder="1" applyAlignment="1">
      <alignment horizontal="left" vertical="top" wrapText="1"/>
    </xf>
    <xf numFmtId="0" fontId="3" fillId="0" borderId="0" xfId="0" applyFont="1" applyAlignment="1">
      <alignment wrapText="1"/>
    </xf>
    <xf numFmtId="0" fontId="15" fillId="0" borderId="1" xfId="0" applyFont="1" applyBorder="1" applyAlignment="1">
      <alignment horizontal="left" vertical="top" wrapText="1"/>
    </xf>
    <xf numFmtId="0" fontId="3" fillId="7" borderId="1" xfId="0" applyFont="1" applyFill="1" applyBorder="1" applyAlignment="1">
      <alignment horizontal="center" vertical="top" wrapText="1"/>
    </xf>
    <xf numFmtId="0" fontId="3" fillId="7" borderId="13" xfId="28" applyFont="1" applyFill="1" applyBorder="1" applyAlignment="1">
      <alignment horizontal="left" vertical="top" wrapText="1"/>
    </xf>
    <xf numFmtId="0" fontId="32" fillId="0" borderId="0" xfId="0" applyFont="1"/>
    <xf numFmtId="0" fontId="5" fillId="0" borderId="1" xfId="10" applyFont="1" applyFill="1" applyBorder="1" applyAlignment="1" applyProtection="1">
      <alignment horizontal="left" vertical="top" wrapText="1"/>
    </xf>
    <xf numFmtId="0" fontId="5" fillId="4" borderId="1" xfId="10" applyFont="1" applyFill="1" applyBorder="1" applyAlignment="1" applyProtection="1">
      <alignment horizontal="left" vertical="top" wrapText="1"/>
    </xf>
    <xf numFmtId="0" fontId="5" fillId="4" borderId="13" xfId="10" applyFont="1" applyFill="1" applyBorder="1" applyAlignment="1" applyProtection="1">
      <alignment horizontal="left" vertical="top" wrapText="1"/>
    </xf>
    <xf numFmtId="0" fontId="32" fillId="0" borderId="1" xfId="0" applyFont="1" applyBorder="1" applyAlignment="1">
      <alignment vertical="top"/>
    </xf>
    <xf numFmtId="0" fontId="5" fillId="0" borderId="1" xfId="10" applyFont="1" applyBorder="1" applyAlignment="1" applyProtection="1">
      <alignment horizontal="left" vertical="top" wrapText="1"/>
    </xf>
    <xf numFmtId="0" fontId="32" fillId="0" borderId="0" xfId="0" applyFont="1" applyAlignment="1">
      <alignment horizontal="left" vertical="top" wrapText="1"/>
    </xf>
    <xf numFmtId="0" fontId="32" fillId="0" borderId="0" xfId="0" applyFont="1" applyAlignment="1">
      <alignment horizontal="center"/>
    </xf>
    <xf numFmtId="42" fontId="8" fillId="0" borderId="1" xfId="0" applyNumberFormat="1" applyFont="1" applyBorder="1" applyAlignment="1">
      <alignment vertical="top"/>
    </xf>
    <xf numFmtId="0" fontId="10" fillId="0" borderId="1" xfId="0" applyFont="1" applyBorder="1" applyAlignment="1">
      <alignment vertical="top"/>
    </xf>
    <xf numFmtId="0" fontId="10" fillId="0" borderId="1" xfId="0" applyFont="1" applyBorder="1" applyAlignment="1">
      <alignment vertical="top" wrapText="1"/>
    </xf>
    <xf numFmtId="0" fontId="101" fillId="0" borderId="1" xfId="0" applyFont="1" applyBorder="1" applyAlignment="1">
      <alignment horizontal="left" vertical="top" wrapText="1"/>
    </xf>
    <xf numFmtId="0" fontId="101" fillId="0" borderId="1" xfId="0" applyFont="1" applyBorder="1" applyAlignment="1">
      <alignment vertical="top" wrapText="1"/>
    </xf>
    <xf numFmtId="0" fontId="32" fillId="0" borderId="0" xfId="0" applyFont="1" applyAlignment="1">
      <alignment wrapText="1"/>
    </xf>
    <xf numFmtId="0" fontId="0" fillId="2" borderId="0" xfId="0" applyFill="1" applyBorder="1" applyAlignment="1"/>
    <xf numFmtId="42" fontId="3" fillId="0" borderId="12" xfId="0" applyNumberFormat="1" applyFont="1" applyBorder="1" applyAlignment="1" applyProtection="1">
      <alignment horizontal="left" vertical="top" wrapText="1"/>
      <protection hidden="1"/>
    </xf>
    <xf numFmtId="0" fontId="0" fillId="0" borderId="0" xfId="0" applyAlignment="1">
      <alignment horizontal="left" vertical="top" wrapText="1"/>
    </xf>
    <xf numFmtId="0" fontId="5" fillId="0" borderId="0" xfId="10" applyFill="1" applyAlignment="1" applyProtection="1">
      <alignment horizontal="left" vertical="top" wrapText="1"/>
    </xf>
    <xf numFmtId="164" fontId="10" fillId="6" borderId="1" xfId="51" applyNumberFormat="1" applyFont="1" applyFill="1" applyBorder="1" applyAlignment="1" applyProtection="1">
      <alignment horizontal="center"/>
      <protection locked="0"/>
    </xf>
    <xf numFmtId="0" fontId="3" fillId="0" borderId="13" xfId="28" applyFont="1" applyFill="1" applyBorder="1" applyAlignment="1">
      <alignment horizontal="center" vertical="top" wrapText="1"/>
    </xf>
    <xf numFmtId="0" fontId="34" fillId="2" borderId="0" xfId="0" applyFont="1" applyFill="1" applyBorder="1" applyAlignment="1">
      <alignment vertical="center" wrapText="1"/>
    </xf>
    <xf numFmtId="0" fontId="34" fillId="0" borderId="0" xfId="0" applyFont="1" applyAlignment="1">
      <alignment vertical="center" wrapText="1"/>
    </xf>
    <xf numFmtId="0" fontId="102" fillId="0" borderId="13" xfId="10" applyFont="1" applyBorder="1" applyAlignment="1" applyProtection="1">
      <alignment horizontal="left" vertical="center" wrapText="1"/>
    </xf>
    <xf numFmtId="0" fontId="102" fillId="0" borderId="14" xfId="10" applyFont="1" applyBorder="1" applyAlignment="1" applyProtection="1">
      <alignment horizontal="left" vertical="center"/>
    </xf>
    <xf numFmtId="0" fontId="102" fillId="0" borderId="12" xfId="10" applyFont="1" applyBorder="1" applyAlignment="1" applyProtection="1">
      <alignment horizontal="left" vertical="center"/>
    </xf>
    <xf numFmtId="0" fontId="11" fillId="2" borderId="15" xfId="0" applyFont="1" applyFill="1" applyBorder="1" applyAlignment="1">
      <alignment horizontal="center"/>
    </xf>
    <xf numFmtId="0" fontId="0" fillId="0" borderId="15" xfId="0" applyBorder="1" applyAlignment="1">
      <alignment horizontal="center"/>
    </xf>
    <xf numFmtId="0" fontId="33" fillId="2" borderId="0" xfId="0" applyFont="1" applyFill="1" applyBorder="1" applyAlignment="1">
      <alignment horizontal="left" vertical="center" wrapText="1"/>
    </xf>
    <xf numFmtId="0" fontId="34" fillId="0" borderId="0" xfId="0" applyFont="1" applyAlignment="1">
      <alignment horizontal="left" vertical="center" wrapText="1"/>
    </xf>
    <xf numFmtId="0" fontId="12" fillId="2" borderId="0" xfId="0" applyFont="1" applyFill="1" applyBorder="1" applyAlignment="1">
      <alignment wrapText="1"/>
    </xf>
    <xf numFmtId="0" fontId="0" fillId="2" borderId="0" xfId="0" applyFill="1" applyBorder="1" applyAlignment="1"/>
    <xf numFmtId="0" fontId="0" fillId="0" borderId="0" xfId="0" applyAlignment="1"/>
    <xf numFmtId="0" fontId="35" fillId="2" borderId="0" xfId="0" applyFont="1" applyFill="1" applyBorder="1" applyAlignment="1">
      <alignment wrapText="1"/>
    </xf>
    <xf numFmtId="0" fontId="34" fillId="2" borderId="0" xfId="0" applyFont="1" applyFill="1" applyBorder="1" applyAlignment="1"/>
    <xf numFmtId="0" fontId="34" fillId="0" borderId="0" xfId="0" applyFont="1" applyAlignment="1"/>
    <xf numFmtId="0" fontId="0" fillId="2" borderId="0" xfId="0" applyFill="1" applyBorder="1" applyAlignment="1">
      <alignment wrapText="1"/>
    </xf>
    <xf numFmtId="0" fontId="0" fillId="0" borderId="0" xfId="0" applyAlignment="1">
      <alignment wrapText="1"/>
    </xf>
    <xf numFmtId="0" fontId="14" fillId="2" borderId="0" xfId="10" applyFont="1" applyFill="1" applyBorder="1" applyAlignment="1" applyProtection="1"/>
    <xf numFmtId="0" fontId="14" fillId="2" borderId="34" xfId="10" applyFont="1" applyFill="1" applyBorder="1" applyAlignment="1" applyProtection="1"/>
    <xf numFmtId="0" fontId="14" fillId="2" borderId="0" xfId="10" applyFont="1" applyFill="1" applyBorder="1" applyAlignment="1" applyProtection="1">
      <alignment horizontal="left"/>
    </xf>
    <xf numFmtId="0" fontId="12" fillId="2" borderId="0" xfId="0" applyFont="1" applyFill="1" applyBorder="1" applyAlignment="1">
      <alignment horizontal="left" wrapText="1" indent="1"/>
    </xf>
    <xf numFmtId="0" fontId="0" fillId="2" borderId="0" xfId="0" applyFill="1" applyBorder="1" applyAlignment="1">
      <alignment horizontal="left" indent="1"/>
    </xf>
    <xf numFmtId="0" fontId="12" fillId="2" borderId="0" xfId="0" applyFont="1" applyFill="1" applyBorder="1" applyAlignment="1">
      <alignment horizontal="left" vertical="center" wrapText="1"/>
    </xf>
    <xf numFmtId="0" fontId="34" fillId="2" borderId="0" xfId="0" applyFont="1" applyFill="1" applyBorder="1" applyAlignment="1">
      <alignment wrapText="1"/>
    </xf>
    <xf numFmtId="0" fontId="12" fillId="2" borderId="0" xfId="0" applyFont="1" applyFill="1" applyBorder="1" applyAlignment="1">
      <alignment horizontal="left" vertical="center" wrapText="1" indent="3"/>
    </xf>
    <xf numFmtId="0" fontId="5" fillId="0" borderId="0" xfId="10" applyAlignment="1" applyProtection="1">
      <alignment horizontal="left"/>
    </xf>
    <xf numFmtId="0" fontId="11" fillId="2" borderId="2" xfId="0" applyFont="1" applyFill="1" applyBorder="1" applyAlignment="1">
      <alignment horizontal="center" vertical="center"/>
    </xf>
    <xf numFmtId="0" fontId="0" fillId="2" borderId="15" xfId="0" applyFill="1" applyBorder="1" applyAlignment="1">
      <alignment horizontal="center"/>
    </xf>
    <xf numFmtId="0" fontId="0" fillId="2" borderId="15" xfId="0" applyFill="1" applyBorder="1" applyAlignment="1"/>
    <xf numFmtId="0" fontId="0" fillId="2" borderId="10" xfId="0" applyFill="1" applyBorder="1" applyAlignment="1"/>
    <xf numFmtId="0" fontId="12" fillId="2" borderId="5" xfId="0" applyFont="1" applyFill="1" applyBorder="1" applyAlignment="1">
      <alignment horizontal="left" vertical="top" wrapText="1" indent="1"/>
    </xf>
    <xf numFmtId="0" fontId="0" fillId="2" borderId="7" xfId="0" applyFill="1" applyBorder="1" applyAlignment="1">
      <alignment horizontal="left" indent="1"/>
    </xf>
    <xf numFmtId="0" fontId="0" fillId="2" borderId="6" xfId="0" applyFill="1" applyBorder="1" applyAlignment="1">
      <alignment horizontal="left" inden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6" xfId="51" applyFont="1" applyFill="1" applyBorder="1" applyAlignment="1">
      <alignment horizontal="center" vertical="center"/>
    </xf>
    <xf numFmtId="0" fontId="9" fillId="3" borderId="18" xfId="0" applyFont="1" applyFill="1" applyBorder="1" applyAlignment="1">
      <alignment horizontal="center" vertical="center"/>
    </xf>
    <xf numFmtId="0" fontId="8" fillId="0" borderId="0" xfId="51" applyFont="1" applyAlignment="1">
      <alignment horizontal="left" wrapText="1"/>
    </xf>
    <xf numFmtId="0" fontId="8" fillId="0" borderId="0" xfId="51" applyFont="1" applyAlignment="1">
      <alignment horizontal="left" vertical="center" wrapText="1"/>
    </xf>
    <xf numFmtId="0" fontId="3" fillId="7" borderId="13" xfId="28" applyFont="1" applyFill="1" applyBorder="1" applyAlignment="1">
      <alignment horizontal="left" vertical="top" wrapText="1"/>
    </xf>
    <xf numFmtId="0" fontId="3" fillId="7" borderId="14" xfId="28" applyFont="1" applyFill="1" applyBorder="1" applyAlignment="1">
      <alignment horizontal="left" vertical="top" wrapText="1"/>
    </xf>
    <xf numFmtId="0" fontId="3" fillId="7" borderId="12" xfId="28" applyFont="1" applyFill="1" applyBorder="1" applyAlignment="1">
      <alignment horizontal="left" vertical="top" wrapText="1"/>
    </xf>
    <xf numFmtId="0" fontId="3" fillId="7" borderId="45" xfId="28" applyFont="1" applyFill="1" applyBorder="1" applyAlignment="1">
      <alignment horizontal="left" vertical="top" wrapText="1"/>
    </xf>
    <xf numFmtId="0" fontId="3" fillId="7" borderId="24" xfId="28" applyFont="1" applyFill="1" applyBorder="1" applyAlignment="1">
      <alignment horizontal="left" vertical="top" wrapText="1"/>
    </xf>
    <xf numFmtId="0" fontId="3" fillId="0" borderId="13" xfId="28" applyFont="1" applyFill="1" applyBorder="1" applyAlignment="1">
      <alignment horizontal="left" vertical="top" wrapText="1"/>
    </xf>
    <xf numFmtId="0" fontId="3" fillId="0" borderId="14" xfId="28" applyFont="1" applyFill="1" applyBorder="1" applyAlignment="1">
      <alignment horizontal="left" vertical="top" wrapText="1"/>
    </xf>
    <xf numFmtId="0" fontId="3" fillId="0" borderId="12" xfId="28" applyFont="1" applyFill="1" applyBorder="1" applyAlignment="1">
      <alignment horizontal="left" vertical="top" wrapText="1"/>
    </xf>
    <xf numFmtId="0" fontId="8" fillId="0" borderId="12" xfId="0" applyFont="1" applyFill="1" applyBorder="1" applyAlignment="1">
      <alignment horizontal="center" vertical="top" wrapText="1"/>
    </xf>
    <xf numFmtId="0" fontId="3" fillId="0" borderId="12" xfId="0" applyFont="1" applyFill="1" applyBorder="1" applyAlignment="1">
      <alignment horizontal="left" vertical="top" wrapText="1"/>
    </xf>
    <xf numFmtId="0" fontId="9" fillId="3" borderId="46"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5" fillId="3" borderId="47" xfId="0" applyFont="1" applyFill="1" applyBorder="1" applyAlignment="1">
      <alignment horizontal="center" vertical="center" wrapText="1"/>
    </xf>
    <xf numFmtId="0" fontId="9" fillId="3" borderId="48" xfId="0" applyFont="1" applyFill="1" applyBorder="1" applyAlignment="1">
      <alignment horizontal="center" wrapText="1"/>
    </xf>
    <xf numFmtId="0" fontId="9" fillId="3" borderId="49" xfId="0" applyFont="1" applyFill="1" applyBorder="1" applyAlignment="1">
      <alignment horizontal="center" wrapText="1"/>
    </xf>
    <xf numFmtId="0" fontId="9" fillId="3" borderId="50" xfId="0" applyFont="1" applyFill="1" applyBorder="1" applyAlignment="1">
      <alignment horizontal="center" vertical="top" wrapText="1"/>
    </xf>
    <xf numFmtId="0" fontId="9" fillId="3" borderId="51" xfId="0" applyFont="1" applyFill="1" applyBorder="1" applyAlignment="1">
      <alignment horizontal="center" wrapText="1"/>
    </xf>
    <xf numFmtId="0" fontId="9" fillId="3" borderId="51" xfId="0" applyFont="1" applyFill="1" applyBorder="1" applyAlignment="1">
      <alignment horizontal="center" vertical="top" wrapText="1"/>
    </xf>
    <xf numFmtId="0" fontId="9" fillId="3" borderId="5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3" fillId="0" borderId="14" xfId="28" applyFont="1" applyFill="1" applyBorder="1" applyAlignment="1">
      <alignment vertical="top" wrapText="1"/>
    </xf>
    <xf numFmtId="0" fontId="3" fillId="0" borderId="12" xfId="28" applyFont="1" applyFill="1" applyBorder="1" applyAlignment="1">
      <alignment vertical="top" wrapText="1"/>
    </xf>
    <xf numFmtId="0" fontId="3" fillId="29" borderId="56" xfId="28" applyFont="1" applyFill="1" applyBorder="1" applyAlignment="1">
      <alignment vertical="center" wrapText="1"/>
    </xf>
    <xf numFmtId="0" fontId="3" fillId="29" borderId="14" xfId="28" applyFont="1" applyFill="1" applyBorder="1" applyAlignment="1">
      <alignment vertical="center" wrapText="1"/>
    </xf>
    <xf numFmtId="0" fontId="3" fillId="29" borderId="12" xfId="28" applyFont="1" applyFill="1" applyBorder="1" applyAlignment="1">
      <alignment vertical="center" wrapText="1"/>
    </xf>
    <xf numFmtId="0" fontId="3" fillId="7" borderId="57" xfId="28" quotePrefix="1" applyFont="1" applyFill="1" applyBorder="1" applyAlignment="1">
      <alignment horizontal="left" vertical="top" wrapText="1"/>
    </xf>
    <xf numFmtId="0" fontId="3" fillId="7" borderId="58" xfId="28" quotePrefix="1" applyFont="1" applyFill="1" applyBorder="1" applyAlignment="1">
      <alignment horizontal="left" vertical="top" wrapText="1"/>
    </xf>
    <xf numFmtId="0" fontId="3" fillId="0" borderId="57" xfId="28" quotePrefix="1" applyFont="1" applyFill="1" applyBorder="1" applyAlignment="1">
      <alignment horizontal="left" vertical="top" wrapText="1"/>
    </xf>
    <xf numFmtId="0" fontId="3" fillId="0" borderId="58" xfId="28" quotePrefix="1" applyFont="1" applyFill="1" applyBorder="1" applyAlignment="1">
      <alignment horizontal="left" vertical="top" wrapText="1"/>
    </xf>
    <xf numFmtId="0" fontId="3" fillId="7" borderId="59" xfId="28" applyFont="1" applyFill="1" applyBorder="1" applyAlignment="1">
      <alignment horizontal="left" vertical="top" wrapText="1"/>
    </xf>
    <xf numFmtId="0" fontId="3" fillId="7" borderId="60" xfId="28" applyFont="1" applyFill="1" applyBorder="1" applyAlignment="1">
      <alignment horizontal="left" vertical="top" wrapText="1"/>
    </xf>
    <xf numFmtId="0" fontId="15" fillId="52" borderId="9" xfId="28" applyFont="1" applyFill="1" applyBorder="1" applyAlignment="1">
      <alignment vertical="center"/>
    </xf>
    <xf numFmtId="0" fontId="15" fillId="52" borderId="43" xfId="28" applyFont="1" applyFill="1" applyBorder="1" applyAlignment="1">
      <alignment vertical="center"/>
    </xf>
    <xf numFmtId="0" fontId="15" fillId="52" borderId="44" xfId="28" applyFont="1" applyFill="1" applyBorder="1" applyAlignment="1">
      <alignment vertical="center"/>
    </xf>
  </cellXfs>
  <cellStyles count="405">
    <cellStyle name="%" xfId="56" xr:uid="{00000000-0005-0000-0000-000000000000}"/>
    <cellStyle name="% 2" xfId="57" xr:uid="{00000000-0005-0000-0000-000001000000}"/>
    <cellStyle name="%_PEF FSBR2011" xfId="58" xr:uid="{00000000-0005-0000-0000-000002000000}"/>
    <cellStyle name="]_x000d__x000a_Zoomed=1_x000d__x000a_Row=0_x000d__x000a_Column=0_x000d__x000a_Height=0_x000d__x000a_Width=0_x000d__x000a_FontName=FoxFont_x000d__x000a_FontStyle=0_x000d__x000a_FontSize=9_x000d__x000a_PrtFontName=FoxPrin" xfId="59" xr:uid="{00000000-0005-0000-0000-000003000000}"/>
    <cellStyle name="_TableHead" xfId="60" xr:uid="{00000000-0005-0000-0000-000004000000}"/>
    <cellStyle name="1dp" xfId="61" xr:uid="{00000000-0005-0000-0000-000005000000}"/>
    <cellStyle name="1dp 2" xfId="62" xr:uid="{00000000-0005-0000-0000-000006000000}"/>
    <cellStyle name="20% - Accent1 2" xfId="63" xr:uid="{00000000-0005-0000-0000-000007000000}"/>
    <cellStyle name="20% - Accent2 2" xfId="64" xr:uid="{00000000-0005-0000-0000-000008000000}"/>
    <cellStyle name="20% - Accent3 2" xfId="65" xr:uid="{00000000-0005-0000-0000-000009000000}"/>
    <cellStyle name="20% - Accent4 2" xfId="66" xr:uid="{00000000-0005-0000-0000-00000A000000}"/>
    <cellStyle name="20% - Accent5 2" xfId="67" xr:uid="{00000000-0005-0000-0000-00000B000000}"/>
    <cellStyle name="20% - Accent6 2" xfId="68" xr:uid="{00000000-0005-0000-0000-00000C000000}"/>
    <cellStyle name="3dp" xfId="69" xr:uid="{00000000-0005-0000-0000-00000D000000}"/>
    <cellStyle name="3dp 2" xfId="70" xr:uid="{00000000-0005-0000-0000-00000E000000}"/>
    <cellStyle name="40% - Accent1 2" xfId="71" xr:uid="{00000000-0005-0000-0000-00000F000000}"/>
    <cellStyle name="40% - Accent2 2" xfId="72" xr:uid="{00000000-0005-0000-0000-000010000000}"/>
    <cellStyle name="40% - Accent3 2" xfId="73" xr:uid="{00000000-0005-0000-0000-000011000000}"/>
    <cellStyle name="40% - Accent4 2" xfId="74" xr:uid="{00000000-0005-0000-0000-000012000000}"/>
    <cellStyle name="40% - Accent5 2" xfId="75" xr:uid="{00000000-0005-0000-0000-000013000000}"/>
    <cellStyle name="40% - Accent6 2" xfId="76" xr:uid="{00000000-0005-0000-0000-000014000000}"/>
    <cellStyle name="4dp" xfId="77" xr:uid="{00000000-0005-0000-0000-000015000000}"/>
    <cellStyle name="4dp 2" xfId="78" xr:uid="{00000000-0005-0000-0000-000016000000}"/>
    <cellStyle name="60% - Accent1 2" xfId="79" xr:uid="{00000000-0005-0000-0000-000017000000}"/>
    <cellStyle name="60% - Accent2 2" xfId="80" xr:uid="{00000000-0005-0000-0000-000018000000}"/>
    <cellStyle name="60% - Accent3 2" xfId="81" xr:uid="{00000000-0005-0000-0000-000019000000}"/>
    <cellStyle name="60% - Accent4 2" xfId="82" xr:uid="{00000000-0005-0000-0000-00001A000000}"/>
    <cellStyle name="60% - Accent5 2" xfId="83" xr:uid="{00000000-0005-0000-0000-00001B000000}"/>
    <cellStyle name="60% - Accent6 2" xfId="84" xr:uid="{00000000-0005-0000-0000-00001C000000}"/>
    <cellStyle name="Accent1 2" xfId="85" xr:uid="{00000000-0005-0000-0000-00001D000000}"/>
    <cellStyle name="Accent2 2" xfId="86" xr:uid="{00000000-0005-0000-0000-00001E000000}"/>
    <cellStyle name="Accent3 2" xfId="87" xr:uid="{00000000-0005-0000-0000-00001F000000}"/>
    <cellStyle name="Accent4 2" xfId="88" xr:uid="{00000000-0005-0000-0000-000020000000}"/>
    <cellStyle name="Accent5 2" xfId="89" xr:uid="{00000000-0005-0000-0000-000021000000}"/>
    <cellStyle name="Accent6 2" xfId="90" xr:uid="{00000000-0005-0000-0000-000022000000}"/>
    <cellStyle name="Bad 2" xfId="91" xr:uid="{00000000-0005-0000-0000-000023000000}"/>
    <cellStyle name="Bid £m format" xfId="92" xr:uid="{00000000-0005-0000-0000-000024000000}"/>
    <cellStyle name="Calculation 2" xfId="93" xr:uid="{00000000-0005-0000-0000-000025000000}"/>
    <cellStyle name="Check Cell 2" xfId="94" xr:uid="{00000000-0005-0000-0000-000026000000}"/>
    <cellStyle name="CIL" xfId="95" xr:uid="{00000000-0005-0000-0000-000027000000}"/>
    <cellStyle name="CIU" xfId="96" xr:uid="{00000000-0005-0000-0000-000028000000}"/>
    <cellStyle name="ColLevel_1" xfId="1" builtinId="2" iLevel="0"/>
    <cellStyle name="Comma [0] 2" xfId="2" xr:uid="{00000000-0005-0000-0000-00002A000000}"/>
    <cellStyle name="Comma [0] 2 2" xfId="98" xr:uid="{00000000-0005-0000-0000-00002B000000}"/>
    <cellStyle name="Comma [0] 3" xfId="99" xr:uid="{00000000-0005-0000-0000-00002C000000}"/>
    <cellStyle name="Comma [0] 4" xfId="100" xr:uid="{00000000-0005-0000-0000-00002D000000}"/>
    <cellStyle name="Comma 2" xfId="3" xr:uid="{00000000-0005-0000-0000-00002E000000}"/>
    <cellStyle name="Comma 2 2" xfId="101" xr:uid="{00000000-0005-0000-0000-00002F000000}"/>
    <cellStyle name="Comma 3" xfId="4" xr:uid="{00000000-0005-0000-0000-000030000000}"/>
    <cellStyle name="Comma 3 2" xfId="103" xr:uid="{00000000-0005-0000-0000-000031000000}"/>
    <cellStyle name="Comma 3 3" xfId="102" xr:uid="{00000000-0005-0000-0000-000032000000}"/>
    <cellStyle name="Comma 4" xfId="104" xr:uid="{00000000-0005-0000-0000-000033000000}"/>
    <cellStyle name="Comma 5" xfId="105" xr:uid="{00000000-0005-0000-0000-000034000000}"/>
    <cellStyle name="Comma 6" xfId="106" xr:uid="{00000000-0005-0000-0000-000035000000}"/>
    <cellStyle name="Comma 7" xfId="107" xr:uid="{00000000-0005-0000-0000-000036000000}"/>
    <cellStyle name="Comma 8" xfId="97" xr:uid="{00000000-0005-0000-0000-000037000000}"/>
    <cellStyle name="Comma 9" xfId="400" xr:uid="{00000000-0005-0000-0000-000038000000}"/>
    <cellStyle name="Currency" xfId="5" builtinId="4"/>
    <cellStyle name="Currency 2" xfId="6" xr:uid="{00000000-0005-0000-0000-00003A000000}"/>
    <cellStyle name="Currency 2 2" xfId="108" xr:uid="{00000000-0005-0000-0000-00003B000000}"/>
    <cellStyle name="Currency 3" xfId="7" xr:uid="{00000000-0005-0000-0000-00003C000000}"/>
    <cellStyle name="Currency 3 2" xfId="403" xr:uid="{00000000-0005-0000-0000-00003D000000}"/>
    <cellStyle name="Currency 4" xfId="8" xr:uid="{00000000-0005-0000-0000-00003E000000}"/>
    <cellStyle name="Currency 4 2" xfId="402" xr:uid="{00000000-0005-0000-0000-00003F000000}"/>
    <cellStyle name="Currency 5" xfId="404" xr:uid="{00000000-0005-0000-0000-000040000000}"/>
    <cellStyle name="Description" xfId="109" xr:uid="{00000000-0005-0000-0000-000041000000}"/>
    <cellStyle name="Euro" xfId="110" xr:uid="{00000000-0005-0000-0000-000042000000}"/>
    <cellStyle name="Explanatory Text 2" xfId="111" xr:uid="{00000000-0005-0000-0000-000043000000}"/>
    <cellStyle name="external input" xfId="9" xr:uid="{00000000-0005-0000-0000-000044000000}"/>
    <cellStyle name="Flash" xfId="112" xr:uid="{00000000-0005-0000-0000-000045000000}"/>
    <cellStyle name="footnote ref" xfId="113" xr:uid="{00000000-0005-0000-0000-000046000000}"/>
    <cellStyle name="footnote text" xfId="114" xr:uid="{00000000-0005-0000-0000-000047000000}"/>
    <cellStyle name="General" xfId="115" xr:uid="{00000000-0005-0000-0000-000048000000}"/>
    <cellStyle name="General 2" xfId="116" xr:uid="{00000000-0005-0000-0000-000049000000}"/>
    <cellStyle name="Good 2" xfId="117" xr:uid="{00000000-0005-0000-0000-00004A000000}"/>
    <cellStyle name="Grey" xfId="118" xr:uid="{00000000-0005-0000-0000-00004B000000}"/>
    <cellStyle name="HeaderLabel" xfId="119" xr:uid="{00000000-0005-0000-0000-00004C000000}"/>
    <cellStyle name="HeaderText" xfId="120" xr:uid="{00000000-0005-0000-0000-00004D000000}"/>
    <cellStyle name="Heading 1 2" xfId="121" xr:uid="{00000000-0005-0000-0000-00004E000000}"/>
    <cellStyle name="Heading 1 2 2" xfId="122" xr:uid="{00000000-0005-0000-0000-00004F000000}"/>
    <cellStyle name="Heading 1 2_asset sales" xfId="123" xr:uid="{00000000-0005-0000-0000-000050000000}"/>
    <cellStyle name="Heading 1 3" xfId="124" xr:uid="{00000000-0005-0000-0000-000051000000}"/>
    <cellStyle name="Heading 1 4" xfId="125" xr:uid="{00000000-0005-0000-0000-000052000000}"/>
    <cellStyle name="Heading 2 2" xfId="126" xr:uid="{00000000-0005-0000-0000-000053000000}"/>
    <cellStyle name="Heading 2 3" xfId="127" xr:uid="{00000000-0005-0000-0000-000054000000}"/>
    <cellStyle name="Heading 3 2" xfId="128" xr:uid="{00000000-0005-0000-0000-000055000000}"/>
    <cellStyle name="Heading 3 3" xfId="129" xr:uid="{00000000-0005-0000-0000-000056000000}"/>
    <cellStyle name="Heading 4 2" xfId="130" xr:uid="{00000000-0005-0000-0000-000057000000}"/>
    <cellStyle name="Heading 4 3" xfId="131" xr:uid="{00000000-0005-0000-0000-000058000000}"/>
    <cellStyle name="Heading 5" xfId="132" xr:uid="{00000000-0005-0000-0000-000059000000}"/>
    <cellStyle name="Heading 6" xfId="133" xr:uid="{00000000-0005-0000-0000-00005A000000}"/>
    <cellStyle name="Heading 7" xfId="134" xr:uid="{00000000-0005-0000-0000-00005B000000}"/>
    <cellStyle name="Heading 8" xfId="135" xr:uid="{00000000-0005-0000-0000-00005C000000}"/>
    <cellStyle name="Hyperlink" xfId="10" builtinId="8"/>
    <cellStyle name="Hyperlink 2" xfId="11" xr:uid="{00000000-0005-0000-0000-00005E000000}"/>
    <cellStyle name="Hyperlink 2 2" xfId="137" xr:uid="{00000000-0005-0000-0000-00005F000000}"/>
    <cellStyle name="Hyperlink 2 3" xfId="136" xr:uid="{00000000-0005-0000-0000-000060000000}"/>
    <cellStyle name="Hyperlink 3" xfId="12" xr:uid="{00000000-0005-0000-0000-000061000000}"/>
    <cellStyle name="Hyperlink 3 2" xfId="138" xr:uid="{00000000-0005-0000-0000-000062000000}"/>
    <cellStyle name="Hyperlink 4" xfId="139" xr:uid="{00000000-0005-0000-0000-000063000000}"/>
    <cellStyle name="Information" xfId="140" xr:uid="{00000000-0005-0000-0000-000064000000}"/>
    <cellStyle name="Input [yellow]" xfId="141" xr:uid="{00000000-0005-0000-0000-000065000000}"/>
    <cellStyle name="Input 10" xfId="142" xr:uid="{00000000-0005-0000-0000-000066000000}"/>
    <cellStyle name="Input 11" xfId="143" xr:uid="{00000000-0005-0000-0000-000067000000}"/>
    <cellStyle name="Input 12" xfId="144" xr:uid="{00000000-0005-0000-0000-000068000000}"/>
    <cellStyle name="Input 13" xfId="145" xr:uid="{00000000-0005-0000-0000-000069000000}"/>
    <cellStyle name="Input 14" xfId="146" xr:uid="{00000000-0005-0000-0000-00006A000000}"/>
    <cellStyle name="Input 15" xfId="147" xr:uid="{00000000-0005-0000-0000-00006B000000}"/>
    <cellStyle name="Input 16" xfId="148" xr:uid="{00000000-0005-0000-0000-00006C000000}"/>
    <cellStyle name="Input 17" xfId="149" xr:uid="{00000000-0005-0000-0000-00006D000000}"/>
    <cellStyle name="Input 18" xfId="150" xr:uid="{00000000-0005-0000-0000-00006E000000}"/>
    <cellStyle name="Input 19" xfId="151" xr:uid="{00000000-0005-0000-0000-00006F000000}"/>
    <cellStyle name="Input 2" xfId="152" xr:uid="{00000000-0005-0000-0000-000070000000}"/>
    <cellStyle name="Input 3" xfId="153" xr:uid="{00000000-0005-0000-0000-000071000000}"/>
    <cellStyle name="Input 4" xfId="154" xr:uid="{00000000-0005-0000-0000-000072000000}"/>
    <cellStyle name="Input 5" xfId="155" xr:uid="{00000000-0005-0000-0000-000073000000}"/>
    <cellStyle name="Input 6" xfId="156" xr:uid="{00000000-0005-0000-0000-000074000000}"/>
    <cellStyle name="Input 7" xfId="157" xr:uid="{00000000-0005-0000-0000-000075000000}"/>
    <cellStyle name="Input 8" xfId="158" xr:uid="{00000000-0005-0000-0000-000076000000}"/>
    <cellStyle name="Input 9" xfId="159" xr:uid="{00000000-0005-0000-0000-000077000000}"/>
    <cellStyle name="LabelIntersect" xfId="160" xr:uid="{00000000-0005-0000-0000-000078000000}"/>
    <cellStyle name="LabelLeft" xfId="161" xr:uid="{00000000-0005-0000-0000-000079000000}"/>
    <cellStyle name="LabelTop" xfId="162" xr:uid="{00000000-0005-0000-0000-00007A000000}"/>
    <cellStyle name="Linked Cell 2" xfId="163" xr:uid="{00000000-0005-0000-0000-00007B000000}"/>
    <cellStyle name="Mik" xfId="164" xr:uid="{00000000-0005-0000-0000-00007C000000}"/>
    <cellStyle name="Mik 2" xfId="165" xr:uid="{00000000-0005-0000-0000-00007D000000}"/>
    <cellStyle name="Mik_For fiscal tables" xfId="166" xr:uid="{00000000-0005-0000-0000-00007E000000}"/>
    <cellStyle name="N" xfId="167" xr:uid="{00000000-0005-0000-0000-00007F000000}"/>
    <cellStyle name="N 2" xfId="168" xr:uid="{00000000-0005-0000-0000-000080000000}"/>
    <cellStyle name="Neutral 2" xfId="169" xr:uid="{00000000-0005-0000-0000-000081000000}"/>
    <cellStyle name="Normal" xfId="0" builtinId="0"/>
    <cellStyle name="Normal - Style1" xfId="170" xr:uid="{00000000-0005-0000-0000-000083000000}"/>
    <cellStyle name="Normal - Style2" xfId="171" xr:uid="{00000000-0005-0000-0000-000084000000}"/>
    <cellStyle name="Normal - Style3" xfId="172" xr:uid="{00000000-0005-0000-0000-000085000000}"/>
    <cellStyle name="Normal - Style4" xfId="173" xr:uid="{00000000-0005-0000-0000-000086000000}"/>
    <cellStyle name="Normal - Style5" xfId="174" xr:uid="{00000000-0005-0000-0000-000087000000}"/>
    <cellStyle name="Normal 10" xfId="13" xr:uid="{00000000-0005-0000-0000-000088000000}"/>
    <cellStyle name="Normal 10 2" xfId="175" xr:uid="{00000000-0005-0000-0000-000089000000}"/>
    <cellStyle name="Normal 11" xfId="14" xr:uid="{00000000-0005-0000-0000-00008A000000}"/>
    <cellStyle name="Normal 11 10" xfId="177" xr:uid="{00000000-0005-0000-0000-00008B000000}"/>
    <cellStyle name="Normal 11 10 2" xfId="178" xr:uid="{00000000-0005-0000-0000-00008C000000}"/>
    <cellStyle name="Normal 11 10 3" xfId="179" xr:uid="{00000000-0005-0000-0000-00008D000000}"/>
    <cellStyle name="Normal 11 11" xfId="180" xr:uid="{00000000-0005-0000-0000-00008E000000}"/>
    <cellStyle name="Normal 11 12" xfId="176" xr:uid="{00000000-0005-0000-0000-00008F000000}"/>
    <cellStyle name="Normal 11 2" xfId="15" xr:uid="{00000000-0005-0000-0000-000090000000}"/>
    <cellStyle name="Normal 11 2 2" xfId="181" xr:uid="{00000000-0005-0000-0000-000091000000}"/>
    <cellStyle name="Normal 11 3" xfId="16" xr:uid="{00000000-0005-0000-0000-000092000000}"/>
    <cellStyle name="Normal 11 3 2" xfId="182" xr:uid="{00000000-0005-0000-0000-000093000000}"/>
    <cellStyle name="Normal 11 4" xfId="17" xr:uid="{00000000-0005-0000-0000-000094000000}"/>
    <cellStyle name="Normal 11 4 2" xfId="183" xr:uid="{00000000-0005-0000-0000-000095000000}"/>
    <cellStyle name="Normal 11 5" xfId="18" xr:uid="{00000000-0005-0000-0000-000096000000}"/>
    <cellStyle name="Normal 11 5 2" xfId="184" xr:uid="{00000000-0005-0000-0000-000097000000}"/>
    <cellStyle name="Normal 11 6" xfId="19" xr:uid="{00000000-0005-0000-0000-000098000000}"/>
    <cellStyle name="Normal 11 6 2" xfId="185" xr:uid="{00000000-0005-0000-0000-000099000000}"/>
    <cellStyle name="Normal 11 7" xfId="20" xr:uid="{00000000-0005-0000-0000-00009A000000}"/>
    <cellStyle name="Normal 11 7 2" xfId="186" xr:uid="{00000000-0005-0000-0000-00009B000000}"/>
    <cellStyle name="Normal 11 8" xfId="187" xr:uid="{00000000-0005-0000-0000-00009C000000}"/>
    <cellStyle name="Normal 11 9" xfId="188" xr:uid="{00000000-0005-0000-0000-00009D000000}"/>
    <cellStyle name="Normal 12" xfId="21" xr:uid="{00000000-0005-0000-0000-00009E000000}"/>
    <cellStyle name="Normal 12 2" xfId="190" xr:uid="{00000000-0005-0000-0000-00009F000000}"/>
    <cellStyle name="Normal 12 3" xfId="189" xr:uid="{00000000-0005-0000-0000-0000A0000000}"/>
    <cellStyle name="Normal 13" xfId="22" xr:uid="{00000000-0005-0000-0000-0000A1000000}"/>
    <cellStyle name="Normal 13 2" xfId="192" xr:uid="{00000000-0005-0000-0000-0000A2000000}"/>
    <cellStyle name="Normal 13 3" xfId="191" xr:uid="{00000000-0005-0000-0000-0000A3000000}"/>
    <cellStyle name="Normal 14" xfId="23" xr:uid="{00000000-0005-0000-0000-0000A4000000}"/>
    <cellStyle name="Normal 14 2" xfId="194" xr:uid="{00000000-0005-0000-0000-0000A5000000}"/>
    <cellStyle name="Normal 14 3" xfId="193" xr:uid="{00000000-0005-0000-0000-0000A6000000}"/>
    <cellStyle name="Normal 15" xfId="24" xr:uid="{00000000-0005-0000-0000-0000A7000000}"/>
    <cellStyle name="Normal 15 2" xfId="196" xr:uid="{00000000-0005-0000-0000-0000A8000000}"/>
    <cellStyle name="Normal 15 3" xfId="195" xr:uid="{00000000-0005-0000-0000-0000A9000000}"/>
    <cellStyle name="Normal 16" xfId="25" xr:uid="{00000000-0005-0000-0000-0000AA000000}"/>
    <cellStyle name="Normal 16 2" xfId="198" xr:uid="{00000000-0005-0000-0000-0000AB000000}"/>
    <cellStyle name="Normal 16 3" xfId="199" xr:uid="{00000000-0005-0000-0000-0000AC000000}"/>
    <cellStyle name="Normal 16 4" xfId="197" xr:uid="{00000000-0005-0000-0000-0000AD000000}"/>
    <cellStyle name="Normal 17" xfId="26" xr:uid="{00000000-0005-0000-0000-0000AE000000}"/>
    <cellStyle name="Normal 17 2" xfId="201" xr:uid="{00000000-0005-0000-0000-0000AF000000}"/>
    <cellStyle name="Normal 17 3" xfId="200" xr:uid="{00000000-0005-0000-0000-0000B0000000}"/>
    <cellStyle name="Normal 18" xfId="27" xr:uid="{00000000-0005-0000-0000-0000B1000000}"/>
    <cellStyle name="Normal 18 2" xfId="202" xr:uid="{00000000-0005-0000-0000-0000B2000000}"/>
    <cellStyle name="Normal 18 3" xfId="203" xr:uid="{00000000-0005-0000-0000-0000B3000000}"/>
    <cellStyle name="Normal 19" xfId="204" xr:uid="{00000000-0005-0000-0000-0000B4000000}"/>
    <cellStyle name="Normal 19 2" xfId="205" xr:uid="{00000000-0005-0000-0000-0000B5000000}"/>
    <cellStyle name="Normal 19 3" xfId="206" xr:uid="{00000000-0005-0000-0000-0000B6000000}"/>
    <cellStyle name="Normal 2" xfId="28" xr:uid="{00000000-0005-0000-0000-0000B7000000}"/>
    <cellStyle name="Normal 2 2" xfId="29" xr:uid="{00000000-0005-0000-0000-0000B8000000}"/>
    <cellStyle name="Normal 2 2 2" xfId="208" xr:uid="{00000000-0005-0000-0000-0000B9000000}"/>
    <cellStyle name="Normal 2 3" xfId="209" xr:uid="{00000000-0005-0000-0000-0000BA000000}"/>
    <cellStyle name="Normal 2 4" xfId="207" xr:uid="{00000000-0005-0000-0000-0000BB000000}"/>
    <cellStyle name="Normal 2_Lookups" xfId="30" xr:uid="{00000000-0005-0000-0000-0000BC000000}"/>
    <cellStyle name="Normal 20" xfId="210" xr:uid="{00000000-0005-0000-0000-0000BD000000}"/>
    <cellStyle name="Normal 20 2" xfId="211" xr:uid="{00000000-0005-0000-0000-0000BE000000}"/>
    <cellStyle name="Normal 21" xfId="212" xr:uid="{00000000-0005-0000-0000-0000BF000000}"/>
    <cellStyle name="Normal 21 2" xfId="213" xr:uid="{00000000-0005-0000-0000-0000C0000000}"/>
    <cellStyle name="Normal 21 3" xfId="214" xr:uid="{00000000-0005-0000-0000-0000C1000000}"/>
    <cellStyle name="Normal 21_Copy of Fiscal Tables" xfId="215" xr:uid="{00000000-0005-0000-0000-0000C2000000}"/>
    <cellStyle name="Normal 22" xfId="216" xr:uid="{00000000-0005-0000-0000-0000C3000000}"/>
    <cellStyle name="Normal 22 2" xfId="217" xr:uid="{00000000-0005-0000-0000-0000C4000000}"/>
    <cellStyle name="Normal 22 3" xfId="218" xr:uid="{00000000-0005-0000-0000-0000C5000000}"/>
    <cellStyle name="Normal 22_Copy of Fiscal Tables" xfId="219" xr:uid="{00000000-0005-0000-0000-0000C6000000}"/>
    <cellStyle name="Normal 23" xfId="220" xr:uid="{00000000-0005-0000-0000-0000C7000000}"/>
    <cellStyle name="Normal 23 2" xfId="221" xr:uid="{00000000-0005-0000-0000-0000C8000000}"/>
    <cellStyle name="Normal 24" xfId="222" xr:uid="{00000000-0005-0000-0000-0000C9000000}"/>
    <cellStyle name="Normal 24 2" xfId="223" xr:uid="{00000000-0005-0000-0000-0000CA000000}"/>
    <cellStyle name="Normal 25" xfId="224" xr:uid="{00000000-0005-0000-0000-0000CB000000}"/>
    <cellStyle name="Normal 25 2" xfId="225" xr:uid="{00000000-0005-0000-0000-0000CC000000}"/>
    <cellStyle name="Normal 26" xfId="226" xr:uid="{00000000-0005-0000-0000-0000CD000000}"/>
    <cellStyle name="Normal 26 2" xfId="227" xr:uid="{00000000-0005-0000-0000-0000CE000000}"/>
    <cellStyle name="Normal 27" xfId="228" xr:uid="{00000000-0005-0000-0000-0000CF000000}"/>
    <cellStyle name="Normal 27 2" xfId="229" xr:uid="{00000000-0005-0000-0000-0000D0000000}"/>
    <cellStyle name="Normal 28" xfId="230" xr:uid="{00000000-0005-0000-0000-0000D1000000}"/>
    <cellStyle name="Normal 28 2" xfId="231" xr:uid="{00000000-0005-0000-0000-0000D2000000}"/>
    <cellStyle name="Normal 29" xfId="232" xr:uid="{00000000-0005-0000-0000-0000D3000000}"/>
    <cellStyle name="Normal 3" xfId="31" xr:uid="{00000000-0005-0000-0000-0000D4000000}"/>
    <cellStyle name="Normal 3 10" xfId="32" xr:uid="{00000000-0005-0000-0000-0000D5000000}"/>
    <cellStyle name="Normal 3 11" xfId="233" xr:uid="{00000000-0005-0000-0000-0000D6000000}"/>
    <cellStyle name="Normal 3 12" xfId="234" xr:uid="{00000000-0005-0000-0000-0000D7000000}"/>
    <cellStyle name="Normal 3 2" xfId="33" xr:uid="{00000000-0005-0000-0000-0000D8000000}"/>
    <cellStyle name="Normal 3 2 2" xfId="235" xr:uid="{00000000-0005-0000-0000-0000D9000000}"/>
    <cellStyle name="Normal 3 3" xfId="34" xr:uid="{00000000-0005-0000-0000-0000DA000000}"/>
    <cellStyle name="Normal 3 4" xfId="35" xr:uid="{00000000-0005-0000-0000-0000DB000000}"/>
    <cellStyle name="Normal 3 5" xfId="36" xr:uid="{00000000-0005-0000-0000-0000DC000000}"/>
    <cellStyle name="Normal 3 6" xfId="37" xr:uid="{00000000-0005-0000-0000-0000DD000000}"/>
    <cellStyle name="Normal 3 7" xfId="38" xr:uid="{00000000-0005-0000-0000-0000DE000000}"/>
    <cellStyle name="Normal 3 8" xfId="39" xr:uid="{00000000-0005-0000-0000-0000DF000000}"/>
    <cellStyle name="Normal 3 9" xfId="40" xr:uid="{00000000-0005-0000-0000-0000E0000000}"/>
    <cellStyle name="Normal 3_asset sales" xfId="236" xr:uid="{00000000-0005-0000-0000-0000E1000000}"/>
    <cellStyle name="Normal 30" xfId="237" xr:uid="{00000000-0005-0000-0000-0000E2000000}"/>
    <cellStyle name="Normal 31" xfId="238" xr:uid="{00000000-0005-0000-0000-0000E3000000}"/>
    <cellStyle name="Normal 32" xfId="239" xr:uid="{00000000-0005-0000-0000-0000E4000000}"/>
    <cellStyle name="Normal 33" xfId="240" xr:uid="{00000000-0005-0000-0000-0000E5000000}"/>
    <cellStyle name="Normal 34" xfId="241" xr:uid="{00000000-0005-0000-0000-0000E6000000}"/>
    <cellStyle name="Normal 35" xfId="242" xr:uid="{00000000-0005-0000-0000-0000E7000000}"/>
    <cellStyle name="Normal 36" xfId="243" xr:uid="{00000000-0005-0000-0000-0000E8000000}"/>
    <cellStyle name="Normal 37" xfId="244" xr:uid="{00000000-0005-0000-0000-0000E9000000}"/>
    <cellStyle name="Normal 38" xfId="245" xr:uid="{00000000-0005-0000-0000-0000EA000000}"/>
    <cellStyle name="Normal 39" xfId="246" xr:uid="{00000000-0005-0000-0000-0000EB000000}"/>
    <cellStyle name="Normal 4" xfId="41" xr:uid="{00000000-0005-0000-0000-0000EC000000}"/>
    <cellStyle name="Normal 4 2" xfId="42" xr:uid="{00000000-0005-0000-0000-0000ED000000}"/>
    <cellStyle name="Normal 4 3" xfId="248" xr:uid="{00000000-0005-0000-0000-0000EE000000}"/>
    <cellStyle name="Normal 4 4" xfId="247" xr:uid="{00000000-0005-0000-0000-0000EF000000}"/>
    <cellStyle name="Normal 4_Lookups" xfId="43" xr:uid="{00000000-0005-0000-0000-0000F0000000}"/>
    <cellStyle name="Normal 40" xfId="249" xr:uid="{00000000-0005-0000-0000-0000F1000000}"/>
    <cellStyle name="Normal 41" xfId="250" xr:uid="{00000000-0005-0000-0000-0000F2000000}"/>
    <cellStyle name="Normal 42" xfId="251" xr:uid="{00000000-0005-0000-0000-0000F3000000}"/>
    <cellStyle name="Normal 43" xfId="252" xr:uid="{00000000-0005-0000-0000-0000F4000000}"/>
    <cellStyle name="Normal 44" xfId="253" xr:uid="{00000000-0005-0000-0000-0000F5000000}"/>
    <cellStyle name="Normal 45" xfId="254" xr:uid="{00000000-0005-0000-0000-0000F6000000}"/>
    <cellStyle name="Normal 46" xfId="255" xr:uid="{00000000-0005-0000-0000-0000F7000000}"/>
    <cellStyle name="Normal 47" xfId="256" xr:uid="{00000000-0005-0000-0000-0000F8000000}"/>
    <cellStyle name="Normal 48" xfId="257" xr:uid="{00000000-0005-0000-0000-0000F9000000}"/>
    <cellStyle name="Normal 49" xfId="258" xr:uid="{00000000-0005-0000-0000-0000FA000000}"/>
    <cellStyle name="Normal 5" xfId="44" xr:uid="{00000000-0005-0000-0000-0000FB000000}"/>
    <cellStyle name="Normal 5 2" xfId="45" xr:uid="{00000000-0005-0000-0000-0000FC000000}"/>
    <cellStyle name="Normal 5 3" xfId="260" xr:uid="{00000000-0005-0000-0000-0000FD000000}"/>
    <cellStyle name="Normal 5 4" xfId="259" xr:uid="{00000000-0005-0000-0000-0000FE000000}"/>
    <cellStyle name="Normal 5_Lookups" xfId="46" xr:uid="{00000000-0005-0000-0000-0000FF000000}"/>
    <cellStyle name="Normal 50" xfId="261" xr:uid="{00000000-0005-0000-0000-000000010000}"/>
    <cellStyle name="Normal 51" xfId="262" xr:uid="{00000000-0005-0000-0000-000001010000}"/>
    <cellStyle name="Normal 52" xfId="263" xr:uid="{00000000-0005-0000-0000-000002010000}"/>
    <cellStyle name="Normal 53" xfId="331" xr:uid="{00000000-0005-0000-0000-000003010000}"/>
    <cellStyle name="Normal 6" xfId="47" xr:uid="{00000000-0005-0000-0000-000004010000}"/>
    <cellStyle name="Normal 6 2" xfId="265" xr:uid="{00000000-0005-0000-0000-000005010000}"/>
    <cellStyle name="Normal 6 3" xfId="264" xr:uid="{00000000-0005-0000-0000-000006010000}"/>
    <cellStyle name="Normal 6 4" xfId="401" xr:uid="{00000000-0005-0000-0000-000007010000}"/>
    <cellStyle name="Normal 7" xfId="48" xr:uid="{00000000-0005-0000-0000-000008010000}"/>
    <cellStyle name="Normal 7 2" xfId="266" xr:uid="{00000000-0005-0000-0000-000009010000}"/>
    <cellStyle name="Normal 8" xfId="49" xr:uid="{00000000-0005-0000-0000-00000A010000}"/>
    <cellStyle name="Normal 8 2" xfId="267" xr:uid="{00000000-0005-0000-0000-00000B010000}"/>
    <cellStyle name="Normal 9" xfId="50" xr:uid="{00000000-0005-0000-0000-00000C010000}"/>
    <cellStyle name="Normal 9 2" xfId="268" xr:uid="{00000000-0005-0000-0000-00000D010000}"/>
    <cellStyle name="Normal_x Master Costs Database (2)" xfId="51" xr:uid="{00000000-0005-0000-0000-00000E010000}"/>
    <cellStyle name="Note 2" xfId="269" xr:uid="{00000000-0005-0000-0000-00000F010000}"/>
    <cellStyle name="Note 2 2" xfId="270" xr:uid="{00000000-0005-0000-0000-000010010000}"/>
    <cellStyle name="Output 2" xfId="271" xr:uid="{00000000-0005-0000-0000-000011010000}"/>
    <cellStyle name="Output Amounts" xfId="272" xr:uid="{00000000-0005-0000-0000-000012010000}"/>
    <cellStyle name="Output Column Headings" xfId="273" xr:uid="{00000000-0005-0000-0000-000013010000}"/>
    <cellStyle name="Output Line Items" xfId="274" xr:uid="{00000000-0005-0000-0000-000014010000}"/>
    <cellStyle name="Output Report Heading" xfId="275" xr:uid="{00000000-0005-0000-0000-000015010000}"/>
    <cellStyle name="Output Report Title" xfId="276" xr:uid="{00000000-0005-0000-0000-000016010000}"/>
    <cellStyle name="P" xfId="277" xr:uid="{00000000-0005-0000-0000-000017010000}"/>
    <cellStyle name="P 2" xfId="278" xr:uid="{00000000-0005-0000-0000-000018010000}"/>
    <cellStyle name="Percent" xfId="52" builtinId="5"/>
    <cellStyle name="Percent [2]" xfId="279" xr:uid="{00000000-0005-0000-0000-00001A010000}"/>
    <cellStyle name="Percent 2" xfId="280" xr:uid="{00000000-0005-0000-0000-00001B010000}"/>
    <cellStyle name="Percent 3" xfId="281" xr:uid="{00000000-0005-0000-0000-00001C010000}"/>
    <cellStyle name="Percent 3 2" xfId="282" xr:uid="{00000000-0005-0000-0000-00001D010000}"/>
    <cellStyle name="Percent 4" xfId="283" xr:uid="{00000000-0005-0000-0000-00001E010000}"/>
    <cellStyle name="Percent 4 2" xfId="284" xr:uid="{00000000-0005-0000-0000-00001F010000}"/>
    <cellStyle name="Percent 5" xfId="285" xr:uid="{00000000-0005-0000-0000-000020010000}"/>
    <cellStyle name="Percent 6" xfId="286" xr:uid="{00000000-0005-0000-0000-000021010000}"/>
    <cellStyle name="Percent 7" xfId="287" xr:uid="{00000000-0005-0000-0000-000022010000}"/>
    <cellStyle name="Percent 8" xfId="288" xr:uid="{00000000-0005-0000-0000-000023010000}"/>
    <cellStyle name="Refdb standard" xfId="289" xr:uid="{00000000-0005-0000-0000-000024010000}"/>
    <cellStyle name="ReportData" xfId="290" xr:uid="{00000000-0005-0000-0000-000025010000}"/>
    <cellStyle name="ReportElements" xfId="291" xr:uid="{00000000-0005-0000-0000-000026010000}"/>
    <cellStyle name="ReportHeader" xfId="292" xr:uid="{00000000-0005-0000-0000-000027010000}"/>
    <cellStyle name="SAPBEXaggData" xfId="293" xr:uid="{00000000-0005-0000-0000-000028010000}"/>
    <cellStyle name="SAPBEXaggDataEmph" xfId="294" xr:uid="{00000000-0005-0000-0000-000029010000}"/>
    <cellStyle name="SAPBEXaggItem" xfId="295" xr:uid="{00000000-0005-0000-0000-00002A010000}"/>
    <cellStyle name="SAPBEXaggItemX" xfId="296" xr:uid="{00000000-0005-0000-0000-00002B010000}"/>
    <cellStyle name="SAPBEXchaText" xfId="297" xr:uid="{00000000-0005-0000-0000-00002C010000}"/>
    <cellStyle name="SAPBEXexcBad7" xfId="298" xr:uid="{00000000-0005-0000-0000-00002D010000}"/>
    <cellStyle name="SAPBEXexcBad8" xfId="299" xr:uid="{00000000-0005-0000-0000-00002E010000}"/>
    <cellStyle name="SAPBEXexcBad9" xfId="300" xr:uid="{00000000-0005-0000-0000-00002F010000}"/>
    <cellStyle name="SAPBEXexcCritical4" xfId="301" xr:uid="{00000000-0005-0000-0000-000030010000}"/>
    <cellStyle name="SAPBEXexcCritical5" xfId="302" xr:uid="{00000000-0005-0000-0000-000031010000}"/>
    <cellStyle name="SAPBEXexcCritical6" xfId="303" xr:uid="{00000000-0005-0000-0000-000032010000}"/>
    <cellStyle name="SAPBEXexcGood1" xfId="304" xr:uid="{00000000-0005-0000-0000-000033010000}"/>
    <cellStyle name="SAPBEXexcGood2" xfId="305" xr:uid="{00000000-0005-0000-0000-000034010000}"/>
    <cellStyle name="SAPBEXexcGood3" xfId="306" xr:uid="{00000000-0005-0000-0000-000035010000}"/>
    <cellStyle name="SAPBEXfilterDrill" xfId="307" xr:uid="{00000000-0005-0000-0000-000036010000}"/>
    <cellStyle name="SAPBEXfilterItem" xfId="308" xr:uid="{00000000-0005-0000-0000-000037010000}"/>
    <cellStyle name="SAPBEXfilterText" xfId="309" xr:uid="{00000000-0005-0000-0000-000038010000}"/>
    <cellStyle name="SAPBEXformats" xfId="310" xr:uid="{00000000-0005-0000-0000-000039010000}"/>
    <cellStyle name="SAPBEXheaderItem" xfId="311" xr:uid="{00000000-0005-0000-0000-00003A010000}"/>
    <cellStyle name="SAPBEXheaderText" xfId="312" xr:uid="{00000000-0005-0000-0000-00003B010000}"/>
    <cellStyle name="SAPBEXHLevel0" xfId="313" xr:uid="{00000000-0005-0000-0000-00003C010000}"/>
    <cellStyle name="SAPBEXHLevel0X" xfId="314" xr:uid="{00000000-0005-0000-0000-00003D010000}"/>
    <cellStyle name="SAPBEXHLevel1" xfId="315" xr:uid="{00000000-0005-0000-0000-00003E010000}"/>
    <cellStyle name="SAPBEXHLevel1X" xfId="316" xr:uid="{00000000-0005-0000-0000-00003F010000}"/>
    <cellStyle name="SAPBEXHLevel2" xfId="317" xr:uid="{00000000-0005-0000-0000-000040010000}"/>
    <cellStyle name="SAPBEXHLevel2X" xfId="318" xr:uid="{00000000-0005-0000-0000-000041010000}"/>
    <cellStyle name="SAPBEXHLevel3" xfId="319" xr:uid="{00000000-0005-0000-0000-000042010000}"/>
    <cellStyle name="SAPBEXHLevel3X" xfId="320" xr:uid="{00000000-0005-0000-0000-000043010000}"/>
    <cellStyle name="SAPBEXresData" xfId="321" xr:uid="{00000000-0005-0000-0000-000044010000}"/>
    <cellStyle name="SAPBEXresDataEmph" xfId="322" xr:uid="{00000000-0005-0000-0000-000045010000}"/>
    <cellStyle name="SAPBEXresItem" xfId="323" xr:uid="{00000000-0005-0000-0000-000046010000}"/>
    <cellStyle name="SAPBEXresItemX" xfId="324" xr:uid="{00000000-0005-0000-0000-000047010000}"/>
    <cellStyle name="SAPBEXstdData" xfId="325" xr:uid="{00000000-0005-0000-0000-000048010000}"/>
    <cellStyle name="SAPBEXstdDataEmph" xfId="326" xr:uid="{00000000-0005-0000-0000-000049010000}"/>
    <cellStyle name="SAPBEXstdItem" xfId="327" xr:uid="{00000000-0005-0000-0000-00004A010000}"/>
    <cellStyle name="SAPBEXstdItemX" xfId="328" xr:uid="{00000000-0005-0000-0000-00004B010000}"/>
    <cellStyle name="SAPBEXtitle" xfId="329" xr:uid="{00000000-0005-0000-0000-00004C010000}"/>
    <cellStyle name="SAPBEXundefined" xfId="330" xr:uid="{00000000-0005-0000-0000-00004D010000}"/>
    <cellStyle name="Style 1" xfId="53" xr:uid="{00000000-0005-0000-0000-00004E010000}"/>
    <cellStyle name="Style1" xfId="332" xr:uid="{00000000-0005-0000-0000-00004F010000}"/>
    <cellStyle name="Style2" xfId="333" xr:uid="{00000000-0005-0000-0000-000050010000}"/>
    <cellStyle name="Style3" xfId="334" xr:uid="{00000000-0005-0000-0000-000051010000}"/>
    <cellStyle name="Style4" xfId="335" xr:uid="{00000000-0005-0000-0000-000052010000}"/>
    <cellStyle name="Style5" xfId="336" xr:uid="{00000000-0005-0000-0000-000053010000}"/>
    <cellStyle name="Style6" xfId="337" xr:uid="{00000000-0005-0000-0000-000054010000}"/>
    <cellStyle name="Table Footnote" xfId="338" xr:uid="{00000000-0005-0000-0000-000055010000}"/>
    <cellStyle name="Table Footnote 2" xfId="339" xr:uid="{00000000-0005-0000-0000-000056010000}"/>
    <cellStyle name="Table Footnote 2 2" xfId="340" xr:uid="{00000000-0005-0000-0000-000057010000}"/>
    <cellStyle name="Table Footnote_Table 5.6 sales of assets 23Feb2010" xfId="341" xr:uid="{00000000-0005-0000-0000-000058010000}"/>
    <cellStyle name="Table Header" xfId="342" xr:uid="{00000000-0005-0000-0000-000059010000}"/>
    <cellStyle name="Table Header 2" xfId="343" xr:uid="{00000000-0005-0000-0000-00005A010000}"/>
    <cellStyle name="Table Header 2 2" xfId="344" xr:uid="{00000000-0005-0000-0000-00005B010000}"/>
    <cellStyle name="Table Header_Table 5.6 sales of assets 23Feb2010" xfId="345" xr:uid="{00000000-0005-0000-0000-00005C010000}"/>
    <cellStyle name="Table Heading 1" xfId="346" xr:uid="{00000000-0005-0000-0000-00005D010000}"/>
    <cellStyle name="Table Heading 1 2" xfId="347" xr:uid="{00000000-0005-0000-0000-00005E010000}"/>
    <cellStyle name="Table Heading 1 2 2" xfId="348" xr:uid="{00000000-0005-0000-0000-00005F010000}"/>
    <cellStyle name="Table Heading 1_Table 5.6 sales of assets 23Feb2010" xfId="349" xr:uid="{00000000-0005-0000-0000-000060010000}"/>
    <cellStyle name="Table Heading 2" xfId="350" xr:uid="{00000000-0005-0000-0000-000061010000}"/>
    <cellStyle name="Table Heading 2 2" xfId="351" xr:uid="{00000000-0005-0000-0000-000062010000}"/>
    <cellStyle name="Table Heading 2_Table 5.6 sales of assets 23Feb2010" xfId="352" xr:uid="{00000000-0005-0000-0000-000063010000}"/>
    <cellStyle name="Table Of Which" xfId="353" xr:uid="{00000000-0005-0000-0000-000064010000}"/>
    <cellStyle name="Table Of Which 2" xfId="354" xr:uid="{00000000-0005-0000-0000-000065010000}"/>
    <cellStyle name="Table Of Which_Table 5.6 sales of assets 23Feb2010" xfId="355" xr:uid="{00000000-0005-0000-0000-000066010000}"/>
    <cellStyle name="Table Row Billions" xfId="356" xr:uid="{00000000-0005-0000-0000-000067010000}"/>
    <cellStyle name="Table Row Billions 2" xfId="357" xr:uid="{00000000-0005-0000-0000-000068010000}"/>
    <cellStyle name="Table Row Billions Check" xfId="358" xr:uid="{00000000-0005-0000-0000-000069010000}"/>
    <cellStyle name="Table Row Billions Check 2" xfId="359" xr:uid="{00000000-0005-0000-0000-00006A010000}"/>
    <cellStyle name="Table Row Billions Check 3" xfId="360" xr:uid="{00000000-0005-0000-0000-00006B010000}"/>
    <cellStyle name="Table Row Billions Check_asset sales" xfId="361" xr:uid="{00000000-0005-0000-0000-00006C010000}"/>
    <cellStyle name="Table Row Billions_Table 5.6 sales of assets 23Feb2010" xfId="362" xr:uid="{00000000-0005-0000-0000-00006D010000}"/>
    <cellStyle name="Table Row Millions" xfId="363" xr:uid="{00000000-0005-0000-0000-00006E010000}"/>
    <cellStyle name="Table Row Millions 2" xfId="364" xr:uid="{00000000-0005-0000-0000-00006F010000}"/>
    <cellStyle name="Table Row Millions 2 2" xfId="365" xr:uid="{00000000-0005-0000-0000-000070010000}"/>
    <cellStyle name="Table Row Millions Check" xfId="366" xr:uid="{00000000-0005-0000-0000-000071010000}"/>
    <cellStyle name="Table Row Millions Check 2" xfId="367" xr:uid="{00000000-0005-0000-0000-000072010000}"/>
    <cellStyle name="Table Row Millions Check 3" xfId="368" xr:uid="{00000000-0005-0000-0000-000073010000}"/>
    <cellStyle name="Table Row Millions Check 4" xfId="369" xr:uid="{00000000-0005-0000-0000-000074010000}"/>
    <cellStyle name="Table Row Millions Check_asset sales" xfId="370" xr:uid="{00000000-0005-0000-0000-000075010000}"/>
    <cellStyle name="Table Row Millions_Table 5.6 sales of assets 23Feb2010" xfId="371" xr:uid="{00000000-0005-0000-0000-000076010000}"/>
    <cellStyle name="Table Row Percentage" xfId="372" xr:uid="{00000000-0005-0000-0000-000077010000}"/>
    <cellStyle name="Table Row Percentage 2" xfId="373" xr:uid="{00000000-0005-0000-0000-000078010000}"/>
    <cellStyle name="Table Row Percentage Check" xfId="374" xr:uid="{00000000-0005-0000-0000-000079010000}"/>
    <cellStyle name="Table Row Percentage Check 2" xfId="375" xr:uid="{00000000-0005-0000-0000-00007A010000}"/>
    <cellStyle name="Table Row Percentage Check 3" xfId="376" xr:uid="{00000000-0005-0000-0000-00007B010000}"/>
    <cellStyle name="Table Row Percentage Check_asset sales" xfId="377" xr:uid="{00000000-0005-0000-0000-00007C010000}"/>
    <cellStyle name="Table Row Percentage_Table 5.6 sales of assets 23Feb2010" xfId="378" xr:uid="{00000000-0005-0000-0000-00007D010000}"/>
    <cellStyle name="Table Total Billions" xfId="379" xr:uid="{00000000-0005-0000-0000-00007E010000}"/>
    <cellStyle name="Table Total Billions 2" xfId="380" xr:uid="{00000000-0005-0000-0000-00007F010000}"/>
    <cellStyle name="Table Total Billions_Table 5.6 sales of assets 23Feb2010" xfId="381" xr:uid="{00000000-0005-0000-0000-000080010000}"/>
    <cellStyle name="Table Total Millions" xfId="382" xr:uid="{00000000-0005-0000-0000-000081010000}"/>
    <cellStyle name="Table Total Millions 2" xfId="383" xr:uid="{00000000-0005-0000-0000-000082010000}"/>
    <cellStyle name="Table Total Millions 2 2" xfId="384" xr:uid="{00000000-0005-0000-0000-000083010000}"/>
    <cellStyle name="Table Total Millions_Table 5.6 sales of assets 23Feb2010" xfId="385" xr:uid="{00000000-0005-0000-0000-000084010000}"/>
    <cellStyle name="Table Total Percentage" xfId="386" xr:uid="{00000000-0005-0000-0000-000085010000}"/>
    <cellStyle name="Table Total Percentage 2" xfId="387" xr:uid="{00000000-0005-0000-0000-000086010000}"/>
    <cellStyle name="Table Total Percentage_Table 5.6 sales of assets 23Feb2010" xfId="388" xr:uid="{00000000-0005-0000-0000-000087010000}"/>
    <cellStyle name="Table Units" xfId="389" xr:uid="{00000000-0005-0000-0000-000088010000}"/>
    <cellStyle name="Table Units 2" xfId="390" xr:uid="{00000000-0005-0000-0000-000089010000}"/>
    <cellStyle name="Table Units 2 2" xfId="391" xr:uid="{00000000-0005-0000-0000-00008A010000}"/>
    <cellStyle name="Table Units_Table 5.6 sales of assets 23Feb2010" xfId="392" xr:uid="{00000000-0005-0000-0000-00008B010000}"/>
    <cellStyle name="Times New Roman" xfId="393" xr:uid="{00000000-0005-0000-0000-00008C010000}"/>
    <cellStyle name="Title 2" xfId="394" xr:uid="{00000000-0005-0000-0000-00008D010000}"/>
    <cellStyle name="Title 3" xfId="395" xr:uid="{00000000-0005-0000-0000-00008E010000}"/>
    <cellStyle name="Title 4" xfId="396" xr:uid="{00000000-0005-0000-0000-00008F010000}"/>
    <cellStyle name="Total 2" xfId="397" xr:uid="{00000000-0005-0000-0000-000090010000}"/>
    <cellStyle name="u" xfId="54" xr:uid="{00000000-0005-0000-0000-000091010000}"/>
    <cellStyle name="Undefined" xfId="55" xr:uid="{00000000-0005-0000-0000-000092010000}"/>
    <cellStyle name="Warning Text 2" xfId="398" xr:uid="{00000000-0005-0000-0000-000093010000}"/>
    <cellStyle name="whole number" xfId="399" xr:uid="{00000000-0005-0000-0000-000094010000}"/>
  </cellStyles>
  <dxfs count="313">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auto="1"/>
      </font>
      <fill>
        <patternFill>
          <bgColor rgb="FFFF0000"/>
        </patternFill>
      </fill>
    </dxf>
  </dxfs>
  <tableStyles count="0" defaultTableStyle="TableStyleMedium9" defaultPivotStyle="PivotStyleLight16"/>
  <colors>
    <mruColors>
      <color rgb="FFFFDF05"/>
      <color rgb="FFFFFFFF"/>
      <color rgb="FF008200"/>
      <color rgb="FF00FF00"/>
      <color rgb="FFCCCCFF"/>
      <color rgb="FFCCD1F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20</xdr:row>
      <xdr:rowOff>57150</xdr:rowOff>
    </xdr:from>
    <xdr:to>
      <xdr:col>4</xdr:col>
      <xdr:colOff>2162175</xdr:colOff>
      <xdr:row>23</xdr:row>
      <xdr:rowOff>100538</xdr:rowOff>
    </xdr:to>
    <xdr:pic>
      <xdr:nvPicPr>
        <xdr:cNvPr id="20481" name="Picture 1">
          <a:extLst>
            <a:ext uri="{FF2B5EF4-FFF2-40B4-BE49-F238E27FC236}">
              <a16:creationId xmlns:a16="http://schemas.microsoft.com/office/drawing/2014/main" id="{00000000-0008-0000-0000-0000015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44025" y="6534150"/>
          <a:ext cx="2143125" cy="733425"/>
        </a:xfrm>
        <a:prstGeom prst="rect">
          <a:avLst/>
        </a:prstGeom>
        <a:noFill/>
        <a:ln w="9525">
          <a:noFill/>
          <a:miter lim="800000"/>
          <a:headEnd/>
          <a:tailEnd/>
        </a:ln>
      </xdr:spPr>
    </xdr:pic>
    <xdr:clientData/>
  </xdr:twoCellAnchor>
  <xdr:twoCellAnchor editAs="oneCell">
    <xdr:from>
      <xdr:col>2</xdr:col>
      <xdr:colOff>16934</xdr:colOff>
      <xdr:row>1</xdr:row>
      <xdr:rowOff>67734</xdr:rowOff>
    </xdr:from>
    <xdr:to>
      <xdr:col>3</xdr:col>
      <xdr:colOff>575734</xdr:colOff>
      <xdr:row>2</xdr:row>
      <xdr:rowOff>372322</xdr:rowOff>
    </xdr:to>
    <xdr:pic>
      <xdr:nvPicPr>
        <xdr:cNvPr id="2" name="Picture 1">
          <a:extLst>
            <a:ext uri="{FF2B5EF4-FFF2-40B4-BE49-F238E27FC236}">
              <a16:creationId xmlns:a16="http://schemas.microsoft.com/office/drawing/2014/main" id="{485FECDA-D011-2E85-2A67-066C111D787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67" y="160867"/>
          <a:ext cx="2209800" cy="694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P\SWAUP2\Demography\BWRM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ba@greatermanchester-ca.gov.uk?subject=Unit%20cost%20database" TargetMode="External"/><Relationship Id="rId2" Type="http://schemas.openxmlformats.org/officeDocument/2006/relationships/hyperlink" Target="mailto:cba@greatermanchester-ca.gov.uk" TargetMode="External"/><Relationship Id="rId1" Type="http://schemas.openxmlformats.org/officeDocument/2006/relationships/hyperlink" Target="https://www.greatermanchester-ca.gov.uk/what-we-do/research/research-cost-benefit-analysi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reativecommons.org/licenses/by/4.0/"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www.gov.uk/government/uploads/system/uploads/attachment_data/file/147343/dh_126386.pdf.pdf" TargetMode="External"/><Relationship Id="rId21" Type="http://schemas.openxmlformats.org/officeDocument/2006/relationships/hyperlink" Target="http://www.biomedcentral.com/content/pdf/1471-2458-11-803.pdf" TargetMode="External"/><Relationship Id="rId42" Type="http://schemas.openxmlformats.org/officeDocument/2006/relationships/hyperlink" Target="https://www.pssru.ac.uk/pub/uc/uc2012/full-with-covers.pdf" TargetMode="External"/><Relationship Id="rId47" Type="http://schemas.openxmlformats.org/officeDocument/2006/relationships/hyperlink" Target="https://kar.kent.ac.uk/92342/" TargetMode="External"/><Relationship Id="rId63" Type="http://schemas.openxmlformats.org/officeDocument/2006/relationships/hyperlink" Target="http://www.pssru.ac.uk/pdf/uc/uc2011/uc2011.pdf" TargetMode="External"/><Relationship Id="rId68" Type="http://schemas.openxmlformats.org/officeDocument/2006/relationships/hyperlink" Target="https://files.digital.nhs.uk/BE/D02FCC/ASCFR%20and%20SALT%20Reference%20Tables%202020-21.xlsx" TargetMode="External"/><Relationship Id="rId84" Type="http://schemas.openxmlformats.org/officeDocument/2006/relationships/hyperlink" Target="https://files.digital.nhs.uk/BE/D02FCC/ASCFR%20and%20SALT%20Reference%20Tables%202020-21.xlsx" TargetMode="External"/><Relationship Id="rId89" Type="http://schemas.openxmlformats.org/officeDocument/2006/relationships/hyperlink" Target="https://files.digital.nhs.uk/BE/D02FCC/ASCFR%20and%20SALT%20Reference%20Tables%202020-21.xlsx" TargetMode="External"/><Relationship Id="rId16" Type="http://schemas.openxmlformats.org/officeDocument/2006/relationships/hyperlink" Target="https://www.education.gov.uk/publications/eOrderingDownload/DFE-RB056.pdf" TargetMode="External"/><Relationship Id="rId107" Type="http://schemas.openxmlformats.org/officeDocument/2006/relationships/hyperlink" Target="https://files.digital.nhs.uk/publicationimport/pub16xxx/pub16111/pss-exp-eng-13-14-fin-coun-lev-unit-cost.xlsx" TargetMode="External"/><Relationship Id="rId11" Type="http://schemas.openxmlformats.org/officeDocument/2006/relationships/hyperlink" Target="https://www.education.gov.uk/publications/eOrderingDownload/DFE-RB056.pdf" TargetMode="External"/><Relationship Id="rId32" Type="http://schemas.openxmlformats.org/officeDocument/2006/relationships/hyperlink" Target="http://www.nhs.uk/chq/Pages/what-is-nhs-funded-nursing-care.aspx" TargetMode="External"/><Relationship Id="rId37" Type="http://schemas.openxmlformats.org/officeDocument/2006/relationships/hyperlink" Target="https://kar.kent.ac.uk/65559/40/65559_rep_UCR-2017-v13finalKAR.pdf" TargetMode="External"/><Relationship Id="rId53" Type="http://schemas.openxmlformats.org/officeDocument/2006/relationships/hyperlink" Target="https://kar.kent.ac.uk/92342/" TargetMode="External"/><Relationship Id="rId58" Type="http://schemas.openxmlformats.org/officeDocument/2006/relationships/hyperlink" Target="http://www.pssru.ac.uk/pdf/uc/uc2011/uc2011.pdf" TargetMode="External"/><Relationship Id="rId74" Type="http://schemas.openxmlformats.org/officeDocument/2006/relationships/hyperlink" Target="https://files.digital.nhs.uk/BE/D02FCC/ASCFR%20and%20SALT%20Reference%20Tables%202020-21.xlsx" TargetMode="External"/><Relationship Id="rId79" Type="http://schemas.openxmlformats.org/officeDocument/2006/relationships/hyperlink" Target="https://files.digital.nhs.uk/BE/D02FCC/ASCFR%20and%20SALT%20Reference%20Tables%202020-21.xlsx" TargetMode="External"/><Relationship Id="rId102" Type="http://schemas.openxmlformats.org/officeDocument/2006/relationships/hyperlink" Target="https://kar.kent.ac.uk/92342/" TargetMode="External"/><Relationship Id="rId5" Type="http://schemas.openxmlformats.org/officeDocument/2006/relationships/hyperlink" Target="http://www.familieslink.co.uk/download/june07/Review%20of%20child%20care.pdf" TargetMode="External"/><Relationship Id="rId90" Type="http://schemas.openxmlformats.org/officeDocument/2006/relationships/hyperlink" Target="https://files.digital.nhs.uk/BE/D02FCC/ASCFR%20and%20SALT%20Reference%20Tables%202020-21.xlsx" TargetMode="External"/><Relationship Id="rId95" Type="http://schemas.openxmlformats.org/officeDocument/2006/relationships/hyperlink" Target="https://kar.kent.ac.uk/92342/" TargetMode="External"/><Relationship Id="rId22" Type="http://schemas.openxmlformats.org/officeDocument/2006/relationships/hyperlink" Target="https://www.gov.uk/government/uploads/system/uploads/attachment_data/file/147343/dh_126386.pdf.pdf" TargetMode="External"/><Relationship Id="rId27" Type="http://schemas.openxmlformats.org/officeDocument/2006/relationships/hyperlink" Target="https://www.gov.uk/government/uploads/system/uploads/attachment_data/file/147343/dh_126386.pdf.pdf" TargetMode="External"/><Relationship Id="rId43" Type="http://schemas.openxmlformats.org/officeDocument/2006/relationships/hyperlink" Target="https://kar.kent.ac.uk/65559/40/65559_rep_UCR-2017-v13finalKAR.pdf" TargetMode="External"/><Relationship Id="rId48" Type="http://schemas.openxmlformats.org/officeDocument/2006/relationships/hyperlink" Target="https://kar.kent.ac.uk/84818/13/Unit_Costs_of_Health_and_Social_Care_2020%20%281%29.pdf" TargetMode="External"/><Relationship Id="rId64" Type="http://schemas.openxmlformats.org/officeDocument/2006/relationships/hyperlink" Target="https://www.education.gov.uk/publications/eOrderingDownload/DFE-RB056.pdf" TargetMode="External"/><Relationship Id="rId69" Type="http://schemas.openxmlformats.org/officeDocument/2006/relationships/hyperlink" Target="https://files.digital.nhs.uk/BE/D02FCC/ASCFR%20and%20SALT%20Reference%20Tables%202020-21.xlsx" TargetMode="External"/><Relationship Id="rId80" Type="http://schemas.openxmlformats.org/officeDocument/2006/relationships/hyperlink" Target="https://files.digital.nhs.uk/BE/D02FCC/ASCFR%20and%20SALT%20Reference%20Tables%202020-21.xlsx" TargetMode="External"/><Relationship Id="rId85" Type="http://schemas.openxmlformats.org/officeDocument/2006/relationships/hyperlink" Target="https://files.digital.nhs.uk/BE/D02FCC/ASCFR%20and%20SALT%20Reference%20Tables%202020-21.xlsx" TargetMode="External"/><Relationship Id="rId12" Type="http://schemas.openxmlformats.org/officeDocument/2006/relationships/hyperlink" Target="https://www.education.gov.uk/publications/eOrderingDownload/DFE-RB056.pdf" TargetMode="External"/><Relationship Id="rId17" Type="http://schemas.openxmlformats.org/officeDocument/2006/relationships/hyperlink" Target="https://www.education.gov.uk/publications/eOrderingDownload/DFE-RB056.pdf" TargetMode="External"/><Relationship Id="rId33" Type="http://schemas.openxmlformats.org/officeDocument/2006/relationships/hyperlink" Target="https://files.digital.nhs.uk/BE/D02FCC/ASCFR%20and%20SALT%20Reference%20Tables%202020-21.xlsx" TargetMode="External"/><Relationship Id="rId38" Type="http://schemas.openxmlformats.org/officeDocument/2006/relationships/hyperlink" Target="https://s3.eu-west-2.amazonaws.com/nhsbn-static/NAIC%20(Providers)/2017/NAIC%20England%20Summary%20Report%20-%20upload%202.pdf" TargetMode="External"/><Relationship Id="rId59" Type="http://schemas.openxmlformats.org/officeDocument/2006/relationships/hyperlink" Target="http://www.pssru.ac.uk/pdf/uc/uc2011/uc2011.pdf" TargetMode="External"/><Relationship Id="rId103" Type="http://schemas.openxmlformats.org/officeDocument/2006/relationships/hyperlink" Target="https://kar.kent.ac.uk/92342/" TargetMode="External"/><Relationship Id="rId108" Type="http://schemas.openxmlformats.org/officeDocument/2006/relationships/hyperlink" Target="https://files.digital.nhs.uk/publicationimport/pub16xxx/pub16111/pss-exp-eng-13-14-fin-coun-lev-unit-cost.xlsx" TargetMode="External"/><Relationship Id="rId54" Type="http://schemas.openxmlformats.org/officeDocument/2006/relationships/hyperlink" Target="https://kar.kent.ac.uk/92342/" TargetMode="External"/><Relationship Id="rId70" Type="http://schemas.openxmlformats.org/officeDocument/2006/relationships/hyperlink" Target="https://files.digital.nhs.uk/BE/D02FCC/ASCFR%20and%20SALT%20Reference%20Tables%202020-21.xlsx" TargetMode="External"/><Relationship Id="rId75" Type="http://schemas.openxmlformats.org/officeDocument/2006/relationships/hyperlink" Target="https://files.digital.nhs.uk/BE/D02FCC/ASCFR%20and%20SALT%20Reference%20Tables%202020-21.xlsx" TargetMode="External"/><Relationship Id="rId91" Type="http://schemas.openxmlformats.org/officeDocument/2006/relationships/hyperlink" Target="https://kar.kent.ac.uk/92342/" TargetMode="External"/><Relationship Id="rId96" Type="http://schemas.openxmlformats.org/officeDocument/2006/relationships/hyperlink" Target="https://kar.kent.ac.uk/92342/" TargetMode="External"/><Relationship Id="rId1" Type="http://schemas.openxmlformats.org/officeDocument/2006/relationships/hyperlink" Target="http://www.familieslink.co.uk/download/june07/Review%20of%20child%20care.pdf" TargetMode="External"/><Relationship Id="rId6" Type="http://schemas.openxmlformats.org/officeDocument/2006/relationships/hyperlink" Target="http://www.pssru.ac.uk/pdf/uc/uc2011/uc2011.pdf" TargetMode="External"/><Relationship Id="rId15" Type="http://schemas.openxmlformats.org/officeDocument/2006/relationships/hyperlink" Target="https://www.education.gov.uk/publications/eOrderingDownload/DFE-RB056.pdf" TargetMode="External"/><Relationship Id="rId23" Type="http://schemas.openxmlformats.org/officeDocument/2006/relationships/hyperlink" Target="http://www.pssru.ac.uk/project-pages/unit-costs/2014/index.php?file=full" TargetMode="External"/><Relationship Id="rId28" Type="http://schemas.openxmlformats.org/officeDocument/2006/relationships/hyperlink" Target="https://www.gov.uk/government/uploads/system/uploads/attachment_data/file/147343/dh_126386.pdf.pdf" TargetMode="External"/><Relationship Id="rId36" Type="http://schemas.openxmlformats.org/officeDocument/2006/relationships/hyperlink" Target="https://kar.kent.ac.uk/65559/40/65559_rep_UCR-2017-v13finalKAR.pdf" TargetMode="External"/><Relationship Id="rId49" Type="http://schemas.openxmlformats.org/officeDocument/2006/relationships/hyperlink" Target="https://www.pssru.ac.uk/pub/uc/uc2012/full-with-covers.pdf" TargetMode="External"/><Relationship Id="rId57" Type="http://schemas.openxmlformats.org/officeDocument/2006/relationships/hyperlink" Target="http://www.pssru.ac.uk/pdf/uc/uc2011/uc2011.pdf" TargetMode="External"/><Relationship Id="rId106" Type="http://schemas.openxmlformats.org/officeDocument/2006/relationships/hyperlink" Target="https://kar.kent.ac.uk/92342/" TargetMode="External"/><Relationship Id="rId10" Type="http://schemas.openxmlformats.org/officeDocument/2006/relationships/hyperlink" Target="http://www.biomedcentral.com/content/pdf/1471-2458-11-803.pdf" TargetMode="External"/><Relationship Id="rId31" Type="http://schemas.openxmlformats.org/officeDocument/2006/relationships/hyperlink" Target="http://www.pssru.ac.uk/project-pages/unit-costs/2014/index.php?file=full" TargetMode="External"/><Relationship Id="rId44" Type="http://schemas.openxmlformats.org/officeDocument/2006/relationships/hyperlink" Target="https://kar.kent.ac.uk/65559/40/65559_rep_UCR-2017-v13finalKAR.pdf" TargetMode="External"/><Relationship Id="rId52" Type="http://schemas.openxmlformats.org/officeDocument/2006/relationships/hyperlink" Target="https://kar.kent.ac.uk/92342/" TargetMode="External"/><Relationship Id="rId60" Type="http://schemas.openxmlformats.org/officeDocument/2006/relationships/hyperlink" Target="http://www.pssru.ac.uk/pdf/uc/uc2011/uc2011.pdf" TargetMode="External"/><Relationship Id="rId65" Type="http://schemas.openxmlformats.org/officeDocument/2006/relationships/hyperlink" Target="https://www.pssru.ac.uk/project-pages/unit-costs/unit-costs-2018/" TargetMode="External"/><Relationship Id="rId73" Type="http://schemas.openxmlformats.org/officeDocument/2006/relationships/hyperlink" Target="https://files.digital.nhs.uk/BE/D02FCC/ASCFR%20and%20SALT%20Reference%20Tables%202020-21.xlsx" TargetMode="External"/><Relationship Id="rId78" Type="http://schemas.openxmlformats.org/officeDocument/2006/relationships/hyperlink" Target="https://files.digital.nhs.uk/BE/D02FCC/ASCFR%20and%20SALT%20Reference%20Tables%202020-21.xlsx" TargetMode="External"/><Relationship Id="rId81" Type="http://schemas.openxmlformats.org/officeDocument/2006/relationships/hyperlink" Target="https://files.digital.nhs.uk/BE/D02FCC/ASCFR%20and%20SALT%20Reference%20Tables%202020-21.xlsx" TargetMode="External"/><Relationship Id="rId86" Type="http://schemas.openxmlformats.org/officeDocument/2006/relationships/hyperlink" Target="https://files.digital.nhs.uk/BE/D02FCC/ASCFR%20and%20SALT%20Reference%20Tables%202020-21.xlsx" TargetMode="External"/><Relationship Id="rId94" Type="http://schemas.openxmlformats.org/officeDocument/2006/relationships/hyperlink" Target="https://kar.kent.ac.uk/92342/" TargetMode="External"/><Relationship Id="rId99" Type="http://schemas.openxmlformats.org/officeDocument/2006/relationships/hyperlink" Target="https://kar.kent.ac.uk/92342/" TargetMode="External"/><Relationship Id="rId101" Type="http://schemas.openxmlformats.org/officeDocument/2006/relationships/hyperlink" Target="https://kar.kent.ac.uk/92342/" TargetMode="External"/><Relationship Id="rId4" Type="http://schemas.openxmlformats.org/officeDocument/2006/relationships/hyperlink" Target="http://www.familieslink.co.uk/download/june07/Review%20of%20child%20care.pdf" TargetMode="External"/><Relationship Id="rId9" Type="http://schemas.openxmlformats.org/officeDocument/2006/relationships/hyperlink" Target="https://www.thefosteringnetwork.org.uk/sites/default/files/content/update-cost-foster-care.pdf" TargetMode="External"/><Relationship Id="rId13" Type="http://schemas.openxmlformats.org/officeDocument/2006/relationships/hyperlink" Target="https://www.education.gov.uk/publications/eOrderingDownload/DFE-RB056.pdf" TargetMode="External"/><Relationship Id="rId18" Type="http://schemas.openxmlformats.org/officeDocument/2006/relationships/hyperlink" Target="http://www.pssru.ac.uk/pdf/uc/uc2011/uc2011.pdf" TargetMode="External"/><Relationship Id="rId39" Type="http://schemas.openxmlformats.org/officeDocument/2006/relationships/hyperlink" Target="https://s3.eu-west-2.amazonaws.com/nhsbn-static/NAIC%20(Providers)/2017/NAIC%20England%20Summary%20Report%20-%20upload%202.pdf" TargetMode="External"/><Relationship Id="rId109" Type="http://schemas.openxmlformats.org/officeDocument/2006/relationships/printerSettings" Target="../printerSettings/printerSettings10.bin"/><Relationship Id="rId34" Type="http://schemas.openxmlformats.org/officeDocument/2006/relationships/hyperlink" Target="https://kar.kent.ac.uk/65559/40/65559_rep_UCR-2017-v13finalKAR.pdf" TargetMode="External"/><Relationship Id="rId50" Type="http://schemas.openxmlformats.org/officeDocument/2006/relationships/hyperlink" Target="https://kar.kent.ac.uk/84818/13/Unit_Costs_of_Health_and_Social_Care_2020%20%281%29.pdf" TargetMode="External"/><Relationship Id="rId55" Type="http://schemas.openxmlformats.org/officeDocument/2006/relationships/hyperlink" Target="http://www.pssru.ac.uk/pdf/uc/uc2011/uc2011.pdf" TargetMode="External"/><Relationship Id="rId76" Type="http://schemas.openxmlformats.org/officeDocument/2006/relationships/hyperlink" Target="https://files.digital.nhs.uk/BE/D02FCC/ASCFR%20and%20SALT%20Reference%20Tables%202020-21.xlsx" TargetMode="External"/><Relationship Id="rId97" Type="http://schemas.openxmlformats.org/officeDocument/2006/relationships/hyperlink" Target="https://kar.kent.ac.uk/92342/" TargetMode="External"/><Relationship Id="rId104" Type="http://schemas.openxmlformats.org/officeDocument/2006/relationships/hyperlink" Target="https://kar.kent.ac.uk/92342/" TargetMode="External"/><Relationship Id="rId7" Type="http://schemas.openxmlformats.org/officeDocument/2006/relationships/hyperlink" Target="http://www.pssru.ac.uk/pdf/uc/uc2011/uc2011.pdf" TargetMode="External"/><Relationship Id="rId71" Type="http://schemas.openxmlformats.org/officeDocument/2006/relationships/hyperlink" Target="https://files.digital.nhs.uk/BE/D02FCC/ASCFR%20and%20SALT%20Reference%20Tables%202020-21.xlsx" TargetMode="External"/><Relationship Id="rId92" Type="http://schemas.openxmlformats.org/officeDocument/2006/relationships/hyperlink" Target="https://kar.kent.ac.uk/92342/" TargetMode="External"/><Relationship Id="rId2" Type="http://schemas.openxmlformats.org/officeDocument/2006/relationships/hyperlink" Target="http://www.familieslink.co.uk/download/june07/Review%20of%20child%20care.pdf" TargetMode="External"/><Relationship Id="rId29" Type="http://schemas.openxmlformats.org/officeDocument/2006/relationships/hyperlink" Target="http://www.pssru.ac.uk/project-pages/unit-costs/2014/index.php?file=full" TargetMode="External"/><Relationship Id="rId24" Type="http://schemas.openxmlformats.org/officeDocument/2006/relationships/hyperlink" Target="https://www.gov.uk/government/uploads/system/uploads/attachment_data/file/147343/dh_126386.pdf.pdf" TargetMode="External"/><Relationship Id="rId40" Type="http://schemas.openxmlformats.org/officeDocument/2006/relationships/hyperlink" Target="https://s3.eu-west-2.amazonaws.com/nhsbn-static/NAIC%20(Providers)/2017/NAIC%20England%20Summary%20Report%20-%20upload%202.pdf" TargetMode="External"/><Relationship Id="rId45" Type="http://schemas.openxmlformats.org/officeDocument/2006/relationships/hyperlink" Target="https://kar.kent.ac.uk/92342/" TargetMode="External"/><Relationship Id="rId66" Type="http://schemas.openxmlformats.org/officeDocument/2006/relationships/hyperlink" Target="https://files.digital.nhs.uk/BE/D02FCC/ASCFR%20and%20SALT%20Reference%20Tables%202020-21.xlsx" TargetMode="External"/><Relationship Id="rId87" Type="http://schemas.openxmlformats.org/officeDocument/2006/relationships/hyperlink" Target="https://files.digital.nhs.uk/BE/D02FCC/ASCFR%20and%20SALT%20Reference%20Tables%202020-21.xlsx" TargetMode="External"/><Relationship Id="rId61" Type="http://schemas.openxmlformats.org/officeDocument/2006/relationships/hyperlink" Target="http://www.pssru.ac.uk/pdf/uc/uc2011/uc2011.pdf" TargetMode="External"/><Relationship Id="rId82" Type="http://schemas.openxmlformats.org/officeDocument/2006/relationships/hyperlink" Target="https://files.digital.nhs.uk/BE/D02FCC/ASCFR%20and%20SALT%20Reference%20Tables%202020-21.xlsx" TargetMode="External"/><Relationship Id="rId19" Type="http://schemas.openxmlformats.org/officeDocument/2006/relationships/hyperlink" Target="http://www.pssru.ac.uk/pdf/uc/uc2011/uc2011.pdf" TargetMode="External"/><Relationship Id="rId14" Type="http://schemas.openxmlformats.org/officeDocument/2006/relationships/hyperlink" Target="https://www.education.gov.uk/publications/eOrderingDownload/DFE-RB056.pdf" TargetMode="External"/><Relationship Id="rId30" Type="http://schemas.openxmlformats.org/officeDocument/2006/relationships/hyperlink" Target="https://explore-education-statistics.service.gov.uk/data-tables/fast-track/e26fa1cf-53c4-4b83-9b17-08d9ae6661a9" TargetMode="External"/><Relationship Id="rId35" Type="http://schemas.openxmlformats.org/officeDocument/2006/relationships/hyperlink" Target="https://kar.kent.ac.uk/65559/40/65559_rep_UCR-2017-v13finalKAR.pdf" TargetMode="External"/><Relationship Id="rId56" Type="http://schemas.openxmlformats.org/officeDocument/2006/relationships/hyperlink" Target="http://www.pssru.ac.uk/pdf/uc/uc2011/uc2011.pdf" TargetMode="External"/><Relationship Id="rId77" Type="http://schemas.openxmlformats.org/officeDocument/2006/relationships/hyperlink" Target="https://files.digital.nhs.uk/BE/D02FCC/ASCFR%20and%20SALT%20Reference%20Tables%202020-21.xlsx" TargetMode="External"/><Relationship Id="rId100" Type="http://schemas.openxmlformats.org/officeDocument/2006/relationships/hyperlink" Target="https://kar.kent.ac.uk/92342/" TargetMode="External"/><Relationship Id="rId105" Type="http://schemas.openxmlformats.org/officeDocument/2006/relationships/hyperlink" Target="https://kar.kent.ac.uk/92342/" TargetMode="External"/><Relationship Id="rId8" Type="http://schemas.openxmlformats.org/officeDocument/2006/relationships/hyperlink" Target="http://www.pssru.ac.uk/pdf/uc/uc2011/uc2011.pdf" TargetMode="External"/><Relationship Id="rId51" Type="http://schemas.openxmlformats.org/officeDocument/2006/relationships/hyperlink" Target="https://kar.kent.ac.uk/84818/13/Unit_Costs_of_Health_and_Social_Care_2020%20%281%29.pdf" TargetMode="External"/><Relationship Id="rId72" Type="http://schemas.openxmlformats.org/officeDocument/2006/relationships/hyperlink" Target="https://files.digital.nhs.uk/BE/D02FCC/ASCFR%20and%20SALT%20Reference%20Tables%202020-21.xlsx" TargetMode="External"/><Relationship Id="rId93" Type="http://schemas.openxmlformats.org/officeDocument/2006/relationships/hyperlink" Target="https://kar.kent.ac.uk/92342/" TargetMode="External"/><Relationship Id="rId98" Type="http://schemas.openxmlformats.org/officeDocument/2006/relationships/hyperlink" Target="https://kar.kent.ac.uk/92342/" TargetMode="External"/><Relationship Id="rId3" Type="http://schemas.openxmlformats.org/officeDocument/2006/relationships/hyperlink" Target="http://www.familieslink.co.uk/download/june07/Review%20of%20child%20care.pdf" TargetMode="External"/><Relationship Id="rId25" Type="http://schemas.openxmlformats.org/officeDocument/2006/relationships/hyperlink" Target="https://www.gov.uk/government/uploads/system/uploads/attachment_data/file/147343/dh_126386.pdf.pdf" TargetMode="External"/><Relationship Id="rId46" Type="http://schemas.openxmlformats.org/officeDocument/2006/relationships/hyperlink" Target="https://kar.kent.ac.uk/92342/" TargetMode="External"/><Relationship Id="rId67" Type="http://schemas.openxmlformats.org/officeDocument/2006/relationships/hyperlink" Target="https://files.digital.nhs.uk/BE/D02FCC/ASCFR%20and%20SALT%20Reference%20Tables%202020-21.xlsx" TargetMode="External"/><Relationship Id="rId20" Type="http://schemas.openxmlformats.org/officeDocument/2006/relationships/hyperlink" Target="http://www.pssru.ac.uk/pdf/uc/uc2011/uc2011.pdf" TargetMode="External"/><Relationship Id="rId41" Type="http://schemas.openxmlformats.org/officeDocument/2006/relationships/hyperlink" Target="https://s3.eu-west-2.amazonaws.com/nhsbn-static/NAIC%20(Providers)/2017/NAIC%20England%20Summary%20Report%20-%20upload%202.pdf" TargetMode="External"/><Relationship Id="rId62" Type="http://schemas.openxmlformats.org/officeDocument/2006/relationships/hyperlink" Target="http://www.pssru.ac.uk/pdf/uc/uc2011/uc2011.pdf" TargetMode="External"/><Relationship Id="rId83" Type="http://schemas.openxmlformats.org/officeDocument/2006/relationships/hyperlink" Target="https://files.digital.nhs.uk/BE/D02FCC/ASCFR%20and%20SALT%20Reference%20Tables%202020-21.xlsx" TargetMode="External"/><Relationship Id="rId88" Type="http://schemas.openxmlformats.org/officeDocument/2006/relationships/hyperlink" Target="https://files.digital.nhs.uk/BE/D02FCC/ASCFR%20and%20SALT%20Reference%20Tables%202020-21.xlsx"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gov.uk/government/statistics/gdp-deflators-at-market-prices-and-money-gdp-march-2022-spring-statemen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ao.org.uk/wp-content/uploads/2010/12/1011663_technical_paper.pdf" TargetMode="External"/><Relationship Id="rId13" Type="http://schemas.openxmlformats.org/officeDocument/2006/relationships/hyperlink" Target="https://www.nao.org.uk/wp-content/uploads/2010/12/1011663_technical_paper.pdf" TargetMode="External"/><Relationship Id="rId18" Type="http://schemas.openxmlformats.org/officeDocument/2006/relationships/hyperlink" Target="https://www.researchgate.net/publication/240632486_THE_ROLE_OF_MEDIATION_IN_TACKLING_NEIGHBOUR_DISPUTES_AND_ANTI-SOCIAL_BEHAVIOUR" TargetMode="External"/><Relationship Id="rId26" Type="http://schemas.openxmlformats.org/officeDocument/2006/relationships/hyperlink" Target="https://assets.publishing.service.gov.uk/government/uploads/system/uploads/attachment_data/file/1050104/costs-per-prison-place-prisoner-individual-prison-2020-21.ods" TargetMode="External"/><Relationship Id="rId3" Type="http://schemas.openxmlformats.org/officeDocument/2006/relationships/hyperlink" Target="https://www.nao.org.uk/wp-content/uploads/2006/12/060799.pdf" TargetMode="External"/><Relationship Id="rId21" Type="http://schemas.openxmlformats.org/officeDocument/2006/relationships/hyperlink" Target="https://assets.publishing.service.gov.uk/government/uploads/system/uploads/attachment_data/file/1050104/costs-per-prison-place-prisoner-individual-prison-2020-21.ods" TargetMode="External"/><Relationship Id="rId7" Type="http://schemas.openxmlformats.org/officeDocument/2006/relationships/hyperlink" Target="http://www.lancs.ac.uk/fass/doc_library/sociology/Cost_of_domestic_violence_update.doc" TargetMode="External"/><Relationship Id="rId12" Type="http://schemas.openxmlformats.org/officeDocument/2006/relationships/hyperlink" Target="http://www.pssru.ac.uk/archive/pdf/dp2855.pdf" TargetMode="External"/><Relationship Id="rId17" Type="http://schemas.openxmlformats.org/officeDocument/2006/relationships/hyperlink" Target="https://www.researchgate.net/publication/240632486_THE_ROLE_OF_MEDIATION_IN_TACKLING_NEIGHBOUR_DISPUTES_AND_ANTI-SOCIAL_BEHAVIOUR" TargetMode="External"/><Relationship Id="rId25" Type="http://schemas.openxmlformats.org/officeDocument/2006/relationships/hyperlink" Target="https://assets.publishing.service.gov.uk/government/uploads/system/uploads/attachment_data/file/1050104/costs-per-prison-place-prisoner-individual-prison-2020-21.ods" TargetMode="External"/><Relationship Id="rId2" Type="http://schemas.openxmlformats.org/officeDocument/2006/relationships/hyperlink" Target="https://www.researchgate.net/publication/240632486_THE_ROLE_OF_MEDIATION_IN_TACKLING_NEIGHBOUR_DISPUTES_AND_ANTI-SOCIAL_BEHAVIOUR" TargetMode="External"/><Relationship Id="rId16" Type="http://schemas.openxmlformats.org/officeDocument/2006/relationships/hyperlink" Target="https://assets.publishing.service.gov.uk/government/uploads/system/uploads/attachment_data/file/1050104/costs-per-prison-place-prisoner-individual-prison-2020-21.ods" TargetMode="External"/><Relationship Id="rId20" Type="http://schemas.openxmlformats.org/officeDocument/2006/relationships/hyperlink" Target="https://www.researchgate.net/publication/240632486_THE_ROLE_OF_MEDIATION_IN_TACKLING_NEIGHBOUR_DISPUTES_AND_ANTI-SOCIAL_BEHAVIOUR" TargetMode="External"/><Relationship Id="rId29" Type="http://schemas.openxmlformats.org/officeDocument/2006/relationships/hyperlink" Target="https://assets.publishing.service.gov.uk/government/uploads/system/uploads/attachment_data/file/1050104/costs-per-prison-place-prisoner-individual-prison-2020-21.ods" TargetMode="External"/><Relationship Id="rId1" Type="http://schemas.openxmlformats.org/officeDocument/2006/relationships/hyperlink" Target="http://www.lancs.ac.uk/fass/doc_library/sociology/Cost_of_domestic_violence_update.doc" TargetMode="External"/><Relationship Id="rId6" Type="http://schemas.openxmlformats.org/officeDocument/2006/relationships/hyperlink" Target="http://www.lancs.ac.uk/fass/doc_library/sociology/Cost_of_domestic_violence_update.doc" TargetMode="External"/><Relationship Id="rId11" Type="http://schemas.openxmlformats.org/officeDocument/2006/relationships/hyperlink" Target="http://www.nao.org.uk/wp-content/uploads/2010/12/1011663_technical_paper.pdf" TargetMode="External"/><Relationship Id="rId24" Type="http://schemas.openxmlformats.org/officeDocument/2006/relationships/hyperlink" Target="https://assets.publishing.service.gov.uk/government/uploads/system/uploads/attachment_data/file/1050104/costs-per-prison-place-prisoner-individual-prison-2020-21.ods" TargetMode="External"/><Relationship Id="rId32" Type="http://schemas.openxmlformats.org/officeDocument/2006/relationships/printerSettings" Target="../printerSettings/printerSettings3.bin"/><Relationship Id="rId5" Type="http://schemas.openxmlformats.org/officeDocument/2006/relationships/hyperlink" Target="http://webarchive.nationalarchives.gov.uk/20100405140447/http:/asb.homeoffice.gov.uk/uploadedFiles/Members_site/Documents_and_images/About_ASB_general/EconSocialCostASB_0142.pdf" TargetMode="External"/><Relationship Id="rId15" Type="http://schemas.openxmlformats.org/officeDocument/2006/relationships/hyperlink" Target="https://researchportal.port.ac.uk/portal/files/1552104/Establishing_the_Cost_of_Missing_Persons_Investigations.pdf" TargetMode="External"/><Relationship Id="rId23" Type="http://schemas.openxmlformats.org/officeDocument/2006/relationships/hyperlink" Target="https://assets.publishing.service.gov.uk/government/uploads/system/uploads/attachment_data/file/1050104/costs-per-prison-place-prisoner-individual-prison-2020-21.ods" TargetMode="External"/><Relationship Id="rId28" Type="http://schemas.openxmlformats.org/officeDocument/2006/relationships/hyperlink" Target="https://assets.publishing.service.gov.uk/government/uploads/system/uploads/attachment_data/file/1050104/costs-per-prison-place-prisoner-individual-prison-2020-21.ods" TargetMode="External"/><Relationship Id="rId10" Type="http://schemas.openxmlformats.org/officeDocument/2006/relationships/hyperlink" Target="http://www.nao.org.uk/wp-content/uploads/2010/12/1011663_technical_paper.pdf" TargetMode="External"/><Relationship Id="rId19" Type="http://schemas.openxmlformats.org/officeDocument/2006/relationships/hyperlink" Target="https://www.researchgate.net/publication/240632486_THE_ROLE_OF_MEDIATION_IN_TACKLING_NEIGHBOUR_DISPUTES_AND_ANTI-SOCIAL_BEHAVIOUR" TargetMode="External"/><Relationship Id="rId31" Type="http://schemas.openxmlformats.org/officeDocument/2006/relationships/hyperlink" Target="https://www.nao.org.uk/wp-content/uploads/2006/12/060799.pdf" TargetMode="External"/><Relationship Id="rId4" Type="http://schemas.openxmlformats.org/officeDocument/2006/relationships/hyperlink" Target="http://webarchive.nationalarchives.gov.uk/20100405140447/http:/asb.homeoffice.gov.uk/uploadedFiles/Members_site/Documents_and_images/About_ASB_general/EconSocialCostASB_0142.pdf" TargetMode="External"/><Relationship Id="rId9" Type="http://schemas.openxmlformats.org/officeDocument/2006/relationships/hyperlink" Target="http://www.nao.org.uk/wp-content/uploads/2010/12/1011663_technical_paper.pdf" TargetMode="External"/><Relationship Id="rId14" Type="http://schemas.openxmlformats.org/officeDocument/2006/relationships/hyperlink" Target="http://www.pssru.ac.uk/archive/pdf/dp2855.pdf" TargetMode="External"/><Relationship Id="rId22" Type="http://schemas.openxmlformats.org/officeDocument/2006/relationships/hyperlink" Target="https://assets.publishing.service.gov.uk/government/uploads/system/uploads/attachment_data/file/1050104/costs-per-prison-place-prisoner-individual-prison-2020-21.ods" TargetMode="External"/><Relationship Id="rId27" Type="http://schemas.openxmlformats.org/officeDocument/2006/relationships/hyperlink" Target="https://assets.publishing.service.gov.uk/government/uploads/system/uploads/attachment_data/file/1050104/costs-per-prison-place-prisoner-individual-prison-2020-21.ods" TargetMode="External"/><Relationship Id="rId30" Type="http://schemas.openxmlformats.org/officeDocument/2006/relationships/hyperlink" Target="https://assets.publishing.service.gov.uk/government/uploads/system/uploads/attachment_data/file/1050104/costs-per-prison-place-prisoner-individual-prison-2020-21.od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gov.uk/government/uploads/system/uploads/attachment_data/file/32354/11-1282-returns-intermediate-and-low-level-vocational-qualifications.pdf" TargetMode="External"/><Relationship Id="rId21" Type="http://schemas.openxmlformats.org/officeDocument/2006/relationships/hyperlink" Target="http://www.thinknpc.org/publications/misspent-youth/" TargetMode="External"/><Relationship Id="rId42" Type="http://schemas.openxmlformats.org/officeDocument/2006/relationships/hyperlink" Target="https://www.gov.uk/government/publications/undergraduate-degrees-lifetime-labour-market-returns" TargetMode="External"/><Relationship Id="rId47" Type="http://schemas.openxmlformats.org/officeDocument/2006/relationships/hyperlink" Target="https://assets.publishing.service.gov.uk/government/uploads/system/uploads/attachment_data/file/387160/RR398A_-_Economic_Value_of_Key_Qualifications.pdf" TargetMode="External"/><Relationship Id="rId63" Type="http://schemas.openxmlformats.org/officeDocument/2006/relationships/hyperlink" Target="https://assets.publishing.service.gov.uk/government/uploads/system/uploads/attachment_data/file/387160/RR398A_-_Economic_Value_of_Key_Qualifications.pdf" TargetMode="External"/><Relationship Id="rId68" Type="http://schemas.openxmlformats.org/officeDocument/2006/relationships/hyperlink" Target="https://www.gov.uk/government/statistics/school-workforce-in-england-november-2017" TargetMode="External"/><Relationship Id="rId2" Type="http://schemas.openxmlformats.org/officeDocument/2006/relationships/hyperlink" Target="https://www.gov.uk/government/uploads/system/uploads/attachment_data/file/147343/dh_126386.pdf.pdf" TargetMode="External"/><Relationship Id="rId16" Type="http://schemas.openxmlformats.org/officeDocument/2006/relationships/hyperlink" Target="http://www.thinknpc.org/publications/misspent-youth/" TargetMode="External"/><Relationship Id="rId29" Type="http://schemas.openxmlformats.org/officeDocument/2006/relationships/hyperlink" Target="http://www.bis.gov.uk/assets/biscore/further-education-skills/docs/e/12-814-employer-investment-in-apprenticeships-fifth-net-benefits-study.pdf" TargetMode="External"/><Relationship Id="rId11" Type="http://schemas.openxmlformats.org/officeDocument/2006/relationships/hyperlink" Target="https://www.gov.uk/government/uploads/system/uploads/attachment_data/file/219645/DFE-_20RR256.pdf" TargetMode="External"/><Relationship Id="rId24" Type="http://schemas.openxmlformats.org/officeDocument/2006/relationships/hyperlink" Target="http://www.thinknpc.org/publications/misspent-youth/" TargetMode="External"/><Relationship Id="rId32" Type="http://schemas.openxmlformats.org/officeDocument/2006/relationships/hyperlink" Target="http://www.bis.gov.uk/assets/biscore/further-education-skills/docs/e/12-814-employer-investment-in-apprenticeships-fifth-net-benefits-study.pdf" TargetMode="External"/><Relationship Id="rId37" Type="http://schemas.openxmlformats.org/officeDocument/2006/relationships/hyperlink" Target="https://assets.publishing.service.gov.uk/government/uploads/system/uploads/attachment_data/file/387160/RR398A_-_Economic_Value_of_Key_Qualifications.pdf" TargetMode="External"/><Relationship Id="rId40" Type="http://schemas.openxmlformats.org/officeDocument/2006/relationships/hyperlink" Target="http://www.bis.gov.uk/assets/biscore/further-education-skills/docs/e/12-814-employer-investment-in-apprenticeships-fifth-net-benefits-study.pdf" TargetMode="External"/><Relationship Id="rId45" Type="http://schemas.openxmlformats.org/officeDocument/2006/relationships/hyperlink" Target="https://assets.publishing.service.gov.uk/government/uploads/system/uploads/attachment_data/file/387160/RR398A_-_Economic_Value_of_Key_Qualifications.pdf" TargetMode="External"/><Relationship Id="rId53" Type="http://schemas.openxmlformats.org/officeDocument/2006/relationships/hyperlink" Target="https://assets.publishing.service.gov.uk/government/uploads/system/uploads/attachment_data/file/387160/RR398A_-_Economic_Value_of_Key_Qualifications.pdf" TargetMode="External"/><Relationship Id="rId58" Type="http://schemas.openxmlformats.org/officeDocument/2006/relationships/hyperlink" Target="https://assets.publishing.service.gov.uk/government/uploads/system/uploads/attachment_data/file/387160/RR398A_-_Economic_Value_of_Key_Qualifications.pdf" TargetMode="External"/><Relationship Id="rId66" Type="http://schemas.openxmlformats.org/officeDocument/2006/relationships/hyperlink" Target="https://www.gov.uk/government/statistics/school-workforce-in-england-november-2017" TargetMode="External"/><Relationship Id="rId74" Type="http://schemas.openxmlformats.org/officeDocument/2006/relationships/vmlDrawing" Target="../drawings/vmlDrawing1.vml"/><Relationship Id="rId5" Type="http://schemas.openxmlformats.org/officeDocument/2006/relationships/hyperlink" Target="https://www.gov.uk/government/uploads/system/uploads/attachment_data/file/147343/dh_126386.pdf.pdf" TargetMode="External"/><Relationship Id="rId61" Type="http://schemas.openxmlformats.org/officeDocument/2006/relationships/hyperlink" Target="https://assets.publishing.service.gov.uk/government/uploads/system/uploads/attachment_data/file/387160/RR398A_-_Economic_Value_of_Key_Qualifications.pdf" TargetMode="External"/><Relationship Id="rId19" Type="http://schemas.openxmlformats.org/officeDocument/2006/relationships/hyperlink" Target="http://www.thinknpc.org/publications/misspent-youth/" TargetMode="External"/><Relationship Id="rId14" Type="http://schemas.openxmlformats.org/officeDocument/2006/relationships/hyperlink" Target="https://www.gov.uk/government/publications/gcse-attainment-and-lifetime-earnings" TargetMode="External"/><Relationship Id="rId22" Type="http://schemas.openxmlformats.org/officeDocument/2006/relationships/hyperlink" Target="http://www.thinknpc.org/publications/misspent-youth/" TargetMode="External"/><Relationship Id="rId27" Type="http://schemas.openxmlformats.org/officeDocument/2006/relationships/hyperlink" Target="https://www.gov.uk/government/uploads/system/uploads/attachment_data/file/32354/11-1282-returns-intermediate-and-low-level-vocational-qualifications.pdf" TargetMode="External"/><Relationship Id="rId30" Type="http://schemas.openxmlformats.org/officeDocument/2006/relationships/hyperlink" Target="http://www.bis.gov.uk/assets/biscore/further-education-skills/docs/e/12-814-employer-investment-in-apprenticeships-fifth-net-benefits-study.pdf" TargetMode="External"/><Relationship Id="rId35" Type="http://schemas.openxmlformats.org/officeDocument/2006/relationships/hyperlink" Target="https://www.gov.uk/government/uploads/system/uploads/attachment_data/file/32354/11-1282-returns-intermediate-and-low-level-vocational-qualifications.pdf" TargetMode="External"/><Relationship Id="rId43" Type="http://schemas.openxmlformats.org/officeDocument/2006/relationships/hyperlink" Target="https://assets.publishing.service.gov.uk/government/uploads/system/uploads/attachment_data/file/387160/RR398A_-_Economic_Value_of_Key_Qualifications.pdf" TargetMode="External"/><Relationship Id="rId48" Type="http://schemas.openxmlformats.org/officeDocument/2006/relationships/hyperlink" Target="https://assets.publishing.service.gov.uk/government/uploads/system/uploads/attachment_data/file/387160/RR398A_-_Economic_Value_of_Key_Qualifications.pdf" TargetMode="External"/><Relationship Id="rId56" Type="http://schemas.openxmlformats.org/officeDocument/2006/relationships/hyperlink" Target="https://assets.publishing.service.gov.uk/government/uploads/system/uploads/attachment_data/file/387160/RR398A_-_Economic_Value_of_Key_Qualifications.pdf" TargetMode="External"/><Relationship Id="rId64" Type="http://schemas.openxmlformats.org/officeDocument/2006/relationships/hyperlink" Target="https://assets.publishing.service.gov.uk/government/uploads/system/uploads/attachment_data/file/387160/RR398A_-_Economic_Value_of_Key_Qualifications.pdf" TargetMode="External"/><Relationship Id="rId69" Type="http://schemas.openxmlformats.org/officeDocument/2006/relationships/hyperlink" Target="https://www.gov.uk/government/statistics/school-workforce-in-england-november-2017" TargetMode="External"/><Relationship Id="rId8" Type="http://schemas.openxmlformats.org/officeDocument/2006/relationships/hyperlink" Target="http://www.thinknpc.org/publications/misspent-youth/" TargetMode="External"/><Relationship Id="rId51" Type="http://schemas.openxmlformats.org/officeDocument/2006/relationships/hyperlink" Target="https://assets.publishing.service.gov.uk/government/uploads/system/uploads/attachment_data/file/387160/RR398A_-_Economic_Value_of_Key_Qualifications.pdf" TargetMode="External"/><Relationship Id="rId72" Type="http://schemas.openxmlformats.org/officeDocument/2006/relationships/hyperlink" Target="https://scottishlibraries.org/media/1226/alma-uk-report-2014-economic-value.pdf" TargetMode="External"/><Relationship Id="rId3" Type="http://schemas.openxmlformats.org/officeDocument/2006/relationships/hyperlink" Target="https://www.gov.uk/government/uploads/system/uploads/attachment_data/file/147343/dh_126386.pdf.pdf" TargetMode="External"/><Relationship Id="rId12" Type="http://schemas.openxmlformats.org/officeDocument/2006/relationships/hyperlink" Target="https://www.gov.uk/government/statistics/school-workforce-in-england-november-2017" TargetMode="External"/><Relationship Id="rId17" Type="http://schemas.openxmlformats.org/officeDocument/2006/relationships/hyperlink" Target="http://www.thinknpc.org/publications/misspent-youth/" TargetMode="External"/><Relationship Id="rId25" Type="http://schemas.openxmlformats.org/officeDocument/2006/relationships/hyperlink" Target="https://www.gov.uk/government/uploads/system/uploads/attachment_data/file/32354/11-1282-returns-intermediate-and-low-level-vocational-qualifications.pdf" TargetMode="External"/><Relationship Id="rId33" Type="http://schemas.openxmlformats.org/officeDocument/2006/relationships/hyperlink" Target="http://www.bis.gov.uk/assets/biscore/further-education-skills/docs/e/12-814-employer-investment-in-apprenticeships-fifth-net-benefits-study.pdf" TargetMode="External"/><Relationship Id="rId38" Type="http://schemas.openxmlformats.org/officeDocument/2006/relationships/hyperlink" Target="https://assets.publishing.service.gov.uk/government/uploads/system/uploads/attachment_data/file/387160/RR398A_-_Economic_Value_of_Key_Qualifications.pdf" TargetMode="External"/><Relationship Id="rId46" Type="http://schemas.openxmlformats.org/officeDocument/2006/relationships/hyperlink" Target="https://assets.publishing.service.gov.uk/government/uploads/system/uploads/attachment_data/file/387160/RR398A_-_Economic_Value_of_Key_Qualifications.pdf" TargetMode="External"/><Relationship Id="rId59" Type="http://schemas.openxmlformats.org/officeDocument/2006/relationships/hyperlink" Target="https://assets.publishing.service.gov.uk/government/uploads/system/uploads/attachment_data/file/387160/RR398A_-_Economic_Value_of_Key_Qualifications.pdf" TargetMode="External"/><Relationship Id="rId67" Type="http://schemas.openxmlformats.org/officeDocument/2006/relationships/hyperlink" Target="https://www.gov.uk/government/statistics/school-workforce-in-england-november-2017" TargetMode="External"/><Relationship Id="rId20" Type="http://schemas.openxmlformats.org/officeDocument/2006/relationships/hyperlink" Target="http://www.thinknpc.org/publications/misspent-youth/" TargetMode="External"/><Relationship Id="rId41" Type="http://schemas.openxmlformats.org/officeDocument/2006/relationships/hyperlink" Target="http://www.bis.gov.uk/assets/biscore/further-education-skills/docs/e/12-814-employer-investment-in-apprenticeships-fifth-net-benefits-study.pdf" TargetMode="External"/><Relationship Id="rId54" Type="http://schemas.openxmlformats.org/officeDocument/2006/relationships/hyperlink" Target="https://assets.publishing.service.gov.uk/government/uploads/system/uploads/attachment_data/file/387160/RR398A_-_Economic_Value_of_Key_Qualifications.pdf" TargetMode="External"/><Relationship Id="rId62" Type="http://schemas.openxmlformats.org/officeDocument/2006/relationships/hyperlink" Target="https://assets.publishing.service.gov.uk/government/uploads/system/uploads/attachment_data/file/387160/RR398A_-_Economic_Value_of_Key_Qualifications.pdf" TargetMode="External"/><Relationship Id="rId70" Type="http://schemas.openxmlformats.org/officeDocument/2006/relationships/hyperlink" Target="https://scottishlibraries.org/media/1226/alma-uk-report-2014-economic-value.pdf" TargetMode="External"/><Relationship Id="rId75" Type="http://schemas.openxmlformats.org/officeDocument/2006/relationships/comments" Target="../comments1.xml"/><Relationship Id="rId1" Type="http://schemas.openxmlformats.org/officeDocument/2006/relationships/hyperlink" Target="https://www.gov.uk/government/publications/undergraduate-degrees-lifetime-labour-market-returns" TargetMode="External"/><Relationship Id="rId6" Type="http://schemas.openxmlformats.org/officeDocument/2006/relationships/hyperlink" Target="https://www.gov.uk/government/uploads/system/uploads/attachment_data/file/147343/dh_126386.pdf.pdf" TargetMode="External"/><Relationship Id="rId15" Type="http://schemas.openxmlformats.org/officeDocument/2006/relationships/hyperlink" Target="https://www.gov.uk/government/publications/gcse-attainment-and-lifetime-earnings" TargetMode="External"/><Relationship Id="rId23" Type="http://schemas.openxmlformats.org/officeDocument/2006/relationships/hyperlink" Target="http://www.thinknpc.org/publications/misspent-youth/" TargetMode="External"/><Relationship Id="rId28" Type="http://schemas.openxmlformats.org/officeDocument/2006/relationships/hyperlink" Target="https://assets.publishing.service.gov.uk/government/uploads/system/uploads/attachment_data/file/387160/RR398A_-_Economic_Value_of_Key_Qualifications.pdf" TargetMode="External"/><Relationship Id="rId36" Type="http://schemas.openxmlformats.org/officeDocument/2006/relationships/hyperlink" Target="https://www.gov.uk/government/uploads/system/uploads/attachment_data/file/32354/11-1282-returns-intermediate-and-low-level-vocational-qualifications.pdf" TargetMode="External"/><Relationship Id="rId49" Type="http://schemas.openxmlformats.org/officeDocument/2006/relationships/hyperlink" Target="https://assets.publishing.service.gov.uk/government/uploads/system/uploads/attachment_data/file/387160/RR398A_-_Economic_Value_of_Key_Qualifications.pdf" TargetMode="External"/><Relationship Id="rId57" Type="http://schemas.openxmlformats.org/officeDocument/2006/relationships/hyperlink" Target="https://assets.publishing.service.gov.uk/government/uploads/system/uploads/attachment_data/file/387160/RR398A_-_Economic_Value_of_Key_Qualifications.pdf" TargetMode="External"/><Relationship Id="rId10" Type="http://schemas.openxmlformats.org/officeDocument/2006/relationships/hyperlink" Target="https://assets.publishing.service.gov.uk/government/uploads/system/uploads/attachment_data/file/387160/RR398A_-_Economic_Value_of_Key_Qualifications.pdf" TargetMode="External"/><Relationship Id="rId31" Type="http://schemas.openxmlformats.org/officeDocument/2006/relationships/hyperlink" Target="http://www.bis.gov.uk/assets/biscore/further-education-skills/docs/e/12-814-employer-investment-in-apprenticeships-fifth-net-benefits-study.pdf" TargetMode="External"/><Relationship Id="rId44" Type="http://schemas.openxmlformats.org/officeDocument/2006/relationships/hyperlink" Target="https://assets.publishing.service.gov.uk/government/uploads/system/uploads/attachment_data/file/387160/RR398A_-_Economic_Value_of_Key_Qualifications.pdf" TargetMode="External"/><Relationship Id="rId52" Type="http://schemas.openxmlformats.org/officeDocument/2006/relationships/hyperlink" Target="https://assets.publishing.service.gov.uk/government/uploads/system/uploads/attachment_data/file/387160/RR398A_-_Economic_Value_of_Key_Qualifications.pdf" TargetMode="External"/><Relationship Id="rId60" Type="http://schemas.openxmlformats.org/officeDocument/2006/relationships/hyperlink" Target="https://assets.publishing.service.gov.uk/government/uploads/system/uploads/attachment_data/file/387160/RR398A_-_Economic_Value_of_Key_Qualifications.pdf" TargetMode="External"/><Relationship Id="rId65" Type="http://schemas.openxmlformats.org/officeDocument/2006/relationships/hyperlink" Target="https://www.gov.uk/government/uploads/system/uploads/attachment_data/file/219645/DFE-_20RR256.pdf" TargetMode="External"/><Relationship Id="rId73" Type="http://schemas.openxmlformats.org/officeDocument/2006/relationships/printerSettings" Target="../printerSettings/printerSettings4.bin"/><Relationship Id="rId4" Type="http://schemas.openxmlformats.org/officeDocument/2006/relationships/hyperlink" Target="https://www.gov.uk/government/uploads/system/uploads/attachment_data/file/147343/dh_126386.pdf.pdf" TargetMode="External"/><Relationship Id="rId9" Type="http://schemas.openxmlformats.org/officeDocument/2006/relationships/hyperlink" Target="http://www.bis.gov.uk/assets/biscore/further-education-skills/docs/e/12-814-employer-investment-in-apprenticeships-fifth-net-benefits-study.pdf" TargetMode="External"/><Relationship Id="rId13" Type="http://schemas.openxmlformats.org/officeDocument/2006/relationships/hyperlink" Target="https://www.gov.uk/government/publications/gcse-attainment-and-lifetime-earnings" TargetMode="External"/><Relationship Id="rId18" Type="http://schemas.openxmlformats.org/officeDocument/2006/relationships/hyperlink" Target="http://www.thinknpc.org/publications/misspent-youth/" TargetMode="External"/><Relationship Id="rId39" Type="http://schemas.openxmlformats.org/officeDocument/2006/relationships/hyperlink" Target="http://www.bis.gov.uk/assets/biscore/further-education-skills/docs/e/12-814-employer-investment-in-apprenticeships-fifth-net-benefits-study.pdf" TargetMode="External"/><Relationship Id="rId34" Type="http://schemas.openxmlformats.org/officeDocument/2006/relationships/hyperlink" Target="https://www.gov.uk/government/uploads/system/uploads/attachment_data/file/32354/11-1282-returns-intermediate-and-low-level-vocational-qualifications.pdf" TargetMode="External"/><Relationship Id="rId50" Type="http://schemas.openxmlformats.org/officeDocument/2006/relationships/hyperlink" Target="https://assets.publishing.service.gov.uk/government/uploads/system/uploads/attachment_data/file/387160/RR398A_-_Economic_Value_of_Key_Qualifications.pdf" TargetMode="External"/><Relationship Id="rId55" Type="http://schemas.openxmlformats.org/officeDocument/2006/relationships/hyperlink" Target="https://assets.publishing.service.gov.uk/government/uploads/system/uploads/attachment_data/file/387160/RR398A_-_Economic_Value_of_Key_Qualifications.pdf" TargetMode="External"/><Relationship Id="rId7" Type="http://schemas.openxmlformats.org/officeDocument/2006/relationships/hyperlink" Target="https://www.gov.uk/government/uploads/system/uploads/attachment_data/file/147343/dh_126386.pdf.pdf" TargetMode="External"/><Relationship Id="rId71" Type="http://schemas.openxmlformats.org/officeDocument/2006/relationships/hyperlink" Target="https://scottishlibraries.org/media/1226/alma-uk-report-2014-economic-value.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uffieldfoundation.org/sites/default/files/files/ACEVO%20Youth%20Unemplyment_lo_res.pdf" TargetMode="External"/><Relationship Id="rId18" Type="http://schemas.openxmlformats.org/officeDocument/2006/relationships/hyperlink" Target="https://www.nuffieldfoundation.org/sites/default/files/files/ACEVO%20Youth%20Unemplyment_lo_res.pdf" TargetMode="External"/><Relationship Id="rId26" Type="http://schemas.openxmlformats.org/officeDocument/2006/relationships/hyperlink" Target="https://webarchive.nationalarchives.gov.uk/ukgwa/20210315084942/https:/www.gov.uk/performance/services" TargetMode="External"/><Relationship Id="rId39" Type="http://schemas.openxmlformats.org/officeDocument/2006/relationships/hyperlink" Target="https://www.gov.uk/income-support/what-youll-get" TargetMode="External"/><Relationship Id="rId21" Type="http://schemas.openxmlformats.org/officeDocument/2006/relationships/hyperlink" Target="https://www.oxfordeconomics.com/publication/download/246524" TargetMode="External"/><Relationship Id="rId34" Type="http://schemas.openxmlformats.org/officeDocument/2006/relationships/hyperlink" Target="https://www.gov.uk/attendance-allowance/what-youll-get" TargetMode="External"/><Relationship Id="rId42" Type="http://schemas.openxmlformats.org/officeDocument/2006/relationships/hyperlink" Target="https://www.gov.uk/income-support/what-youll-get" TargetMode="External"/><Relationship Id="rId47" Type="http://schemas.openxmlformats.org/officeDocument/2006/relationships/hyperlink" Target="https://webarchive.nationalarchives.gov.uk/ukgwa/20210315084942/https:/www.gov.uk/performance/services" TargetMode="External"/><Relationship Id="rId50" Type="http://schemas.openxmlformats.org/officeDocument/2006/relationships/hyperlink" Target="https://webarchive.nationalarchives.gov.uk/ukgwa/20210315084942/https:/www.gov.uk/performance/services" TargetMode="External"/><Relationship Id="rId55" Type="http://schemas.openxmlformats.org/officeDocument/2006/relationships/hyperlink" Target="https://webarchive.nationalarchives.gov.uk/ukgwa/20210315084942/https:/www.gov.uk/performance/services" TargetMode="External"/><Relationship Id="rId7" Type="http://schemas.openxmlformats.org/officeDocument/2006/relationships/hyperlink" Target="https://www.gov.uk/government/uploads/system/uploads/attachment_data/file/214384/WP86.pdf" TargetMode="External"/><Relationship Id="rId2" Type="http://schemas.openxmlformats.org/officeDocument/2006/relationships/hyperlink" Target="https://www.gov.uk/attendance-allowance/what-youll-get" TargetMode="External"/><Relationship Id="rId16" Type="http://schemas.openxmlformats.org/officeDocument/2006/relationships/hyperlink" Target="https://www.nuffieldfoundation.org/sites/default/files/files/ACEVO%20Youth%20Unemplyment_lo_res.pdf" TargetMode="External"/><Relationship Id="rId29" Type="http://schemas.openxmlformats.org/officeDocument/2006/relationships/hyperlink" Target="https://www.gov.uk/employment-support-allowance/what-youll-get" TargetMode="External"/><Relationship Id="rId11" Type="http://schemas.openxmlformats.org/officeDocument/2006/relationships/hyperlink" Target="https://www.nuffieldfoundation.org/sites/default/files/files/ACEVO%20Youth%20Unemplyment_lo_res.pdf" TargetMode="External"/><Relationship Id="rId24" Type="http://schemas.openxmlformats.org/officeDocument/2006/relationships/hyperlink" Target="https://www.gov.uk/income-support/what-youll-get" TargetMode="External"/><Relationship Id="rId32" Type="http://schemas.openxmlformats.org/officeDocument/2006/relationships/hyperlink" Target="https://www.gov.uk/pip/what-youll-get" TargetMode="External"/><Relationship Id="rId37" Type="http://schemas.openxmlformats.org/officeDocument/2006/relationships/hyperlink" Target="https://www.gov.uk/dla-disability-living-allowance-benefit/what-youll-get" TargetMode="External"/><Relationship Id="rId40" Type="http://schemas.openxmlformats.org/officeDocument/2006/relationships/hyperlink" Target="https://www.gov.uk/income-support/what-youll-get" TargetMode="External"/><Relationship Id="rId45" Type="http://schemas.openxmlformats.org/officeDocument/2006/relationships/hyperlink" Target="https://www.gov.uk/income-support/what-youll-get" TargetMode="External"/><Relationship Id="rId53" Type="http://schemas.openxmlformats.org/officeDocument/2006/relationships/hyperlink" Target="https://webarchive.nationalarchives.gov.uk/ukgwa/20210315084942/https:/www.gov.uk/performance/services" TargetMode="External"/><Relationship Id="rId58" Type="http://schemas.openxmlformats.org/officeDocument/2006/relationships/vmlDrawing" Target="../drawings/vmlDrawing2.vml"/><Relationship Id="rId5" Type="http://schemas.openxmlformats.org/officeDocument/2006/relationships/hyperlink" Target="https://www.gov.uk/employment-support-allowance/what-youll-get" TargetMode="External"/><Relationship Id="rId19" Type="http://schemas.openxmlformats.org/officeDocument/2006/relationships/hyperlink" Target="https://www.cipd.co.uk/Images/absence-management_2016_tcm18-16360.pdf" TargetMode="External"/><Relationship Id="rId4" Type="http://schemas.openxmlformats.org/officeDocument/2006/relationships/hyperlink" Target="https://www.gov.uk/dla-disability-living-allowance-benefit/what-youll-get" TargetMode="External"/><Relationship Id="rId9" Type="http://schemas.openxmlformats.org/officeDocument/2006/relationships/hyperlink" Target="https://www.gov.uk/government/uploads/system/uploads/attachment_data/file/214384/WP86.pdf" TargetMode="External"/><Relationship Id="rId14" Type="http://schemas.openxmlformats.org/officeDocument/2006/relationships/hyperlink" Target="https://www.nuffieldfoundation.org/sites/default/files/files/ACEVO%20Youth%20Unemplyment_lo_res.pdf" TargetMode="External"/><Relationship Id="rId22" Type="http://schemas.openxmlformats.org/officeDocument/2006/relationships/hyperlink" Target="https://www.gov.uk/jobseekers-allowance" TargetMode="External"/><Relationship Id="rId27" Type="http://schemas.openxmlformats.org/officeDocument/2006/relationships/hyperlink" Target="https://www.gov.uk/employment-support-allowance/what-youll-get" TargetMode="External"/><Relationship Id="rId30" Type="http://schemas.openxmlformats.org/officeDocument/2006/relationships/hyperlink" Target="https://www.gov.uk/pip/what-youll-get" TargetMode="External"/><Relationship Id="rId35" Type="http://schemas.openxmlformats.org/officeDocument/2006/relationships/hyperlink" Target="https://www.gov.uk/dla-disability-living-allowance-benefit/what-youll-get" TargetMode="External"/><Relationship Id="rId43" Type="http://schemas.openxmlformats.org/officeDocument/2006/relationships/hyperlink" Target="https://www.gov.uk/income-support/what-youll-get" TargetMode="External"/><Relationship Id="rId48" Type="http://schemas.openxmlformats.org/officeDocument/2006/relationships/hyperlink" Target="https://webarchive.nationalarchives.gov.uk/ukgwa/20210315084942/https:/www.gov.uk/performance/services" TargetMode="External"/><Relationship Id="rId56" Type="http://schemas.openxmlformats.org/officeDocument/2006/relationships/hyperlink" Target="https://webarchive.nationalarchives.gov.uk/ukgwa/20210315084942/https:/www.gov.uk/performance/services" TargetMode="External"/><Relationship Id="rId8" Type="http://schemas.openxmlformats.org/officeDocument/2006/relationships/hyperlink" Target="https://www.gov.uk/government/uploads/system/uploads/attachment_data/file/214384/WP86.pdf" TargetMode="External"/><Relationship Id="rId51" Type="http://schemas.openxmlformats.org/officeDocument/2006/relationships/hyperlink" Target="https://webarchive.nationalarchives.gov.uk/ukgwa/20210315084942/https:/www.gov.uk/performance/services" TargetMode="External"/><Relationship Id="rId3" Type="http://schemas.openxmlformats.org/officeDocument/2006/relationships/hyperlink" Target="https://www.gov.uk/carers-allowance/what-youll-get" TargetMode="External"/><Relationship Id="rId12" Type="http://schemas.openxmlformats.org/officeDocument/2006/relationships/hyperlink" Target="https://www.nuffieldfoundation.org/sites/default/files/files/ACEVO%20Youth%20Unemplyment_lo_res.pdf" TargetMode="External"/><Relationship Id="rId17" Type="http://schemas.openxmlformats.org/officeDocument/2006/relationships/hyperlink" Target="https://www.nuffieldfoundation.org/sites/default/files/files/ACEVO%20Youth%20Unemplyment_lo_res.pdf" TargetMode="External"/><Relationship Id="rId25" Type="http://schemas.openxmlformats.org/officeDocument/2006/relationships/hyperlink" Target="https://www.gov.uk/disability-living-allowance-children/rates" TargetMode="External"/><Relationship Id="rId33" Type="http://schemas.openxmlformats.org/officeDocument/2006/relationships/hyperlink" Target="https://www.gov.uk/disability-living-allowance-children/rates" TargetMode="External"/><Relationship Id="rId38" Type="http://schemas.openxmlformats.org/officeDocument/2006/relationships/hyperlink" Target="https://www.gov.uk/dla-disability-living-allowance-benefit/what-youll-get" TargetMode="External"/><Relationship Id="rId46" Type="http://schemas.openxmlformats.org/officeDocument/2006/relationships/hyperlink" Target="https://webarchive.nationalarchives.gov.uk/ukgwa/20210315084942/https:/www.gov.uk/performance/services" TargetMode="External"/><Relationship Id="rId59" Type="http://schemas.openxmlformats.org/officeDocument/2006/relationships/comments" Target="../comments2.xml"/><Relationship Id="rId20" Type="http://schemas.openxmlformats.org/officeDocument/2006/relationships/hyperlink" Target="https://www.gov.uk/government/uploads/system/uploads/attachment_data/file/181060/health-at-work.pdf" TargetMode="External"/><Relationship Id="rId41" Type="http://schemas.openxmlformats.org/officeDocument/2006/relationships/hyperlink" Target="https://www.gov.uk/income-support/what-youll-get" TargetMode="External"/><Relationship Id="rId54" Type="http://schemas.openxmlformats.org/officeDocument/2006/relationships/hyperlink" Target="https://webarchive.nationalarchives.gov.uk/ukgwa/20210315084942/https:/www.gov.uk/performance/services" TargetMode="External"/><Relationship Id="rId1" Type="http://schemas.openxmlformats.org/officeDocument/2006/relationships/hyperlink" Target="https://www.nuffieldfoundation.org/sites/default/files/files/ACEVO%20Youth%20Unemplyment_lo_res.pdf" TargetMode="External"/><Relationship Id="rId6" Type="http://schemas.openxmlformats.org/officeDocument/2006/relationships/hyperlink" Target="https://www.gov.uk/pip/what-youll-get" TargetMode="External"/><Relationship Id="rId15" Type="http://schemas.openxmlformats.org/officeDocument/2006/relationships/hyperlink" Target="https://www.nuffieldfoundation.org/sites/default/files/files/ACEVO%20Youth%20Unemplyment_lo_res.pdf" TargetMode="External"/><Relationship Id="rId23" Type="http://schemas.openxmlformats.org/officeDocument/2006/relationships/hyperlink" Target="https://www.gov.uk/jobseekers-allowance" TargetMode="External"/><Relationship Id="rId28" Type="http://schemas.openxmlformats.org/officeDocument/2006/relationships/hyperlink" Target="https://www.gov.uk/employment-support-allowance/what-youll-get" TargetMode="External"/><Relationship Id="rId36" Type="http://schemas.openxmlformats.org/officeDocument/2006/relationships/hyperlink" Target="https://www.gov.uk/dla-disability-living-allowance-benefit/what-youll-get" TargetMode="External"/><Relationship Id="rId49" Type="http://schemas.openxmlformats.org/officeDocument/2006/relationships/hyperlink" Target="https://webarchive.nationalarchives.gov.uk/ukgwa/20210315084942/https:/www.gov.uk/performance/services" TargetMode="External"/><Relationship Id="rId57" Type="http://schemas.openxmlformats.org/officeDocument/2006/relationships/printerSettings" Target="../printerSettings/printerSettings5.bin"/><Relationship Id="rId10" Type="http://schemas.openxmlformats.org/officeDocument/2006/relationships/hyperlink" Target="https://www.nuffieldfoundation.org/sites/default/files/files/ACEVO%20Youth%20Unemplyment_lo_res.pdf" TargetMode="External"/><Relationship Id="rId31" Type="http://schemas.openxmlformats.org/officeDocument/2006/relationships/hyperlink" Target="https://www.gov.uk/pip/what-youll-get" TargetMode="External"/><Relationship Id="rId44" Type="http://schemas.openxmlformats.org/officeDocument/2006/relationships/hyperlink" Target="https://www.gov.uk/income-support/what-youll-get" TargetMode="External"/><Relationship Id="rId52" Type="http://schemas.openxmlformats.org/officeDocument/2006/relationships/hyperlink" Target="https://webarchive.nationalarchives.gov.uk/ukgwa/20210315084942/https:/www.gov.uk/performance/service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assets.publishing.service.gov.uk/government/uploads/system/uploads/attachment_data/file/593455/Electricity_Networks__Storage_ENS_TINA.pdf" TargetMode="External"/><Relationship Id="rId21" Type="http://schemas.openxmlformats.org/officeDocument/2006/relationships/hyperlink" Target="https://www.gov.uk/government/uploads/system/uploads/attachment_data/file/606818/DECC_RHPP_161214_Final_Report_v1-13.pdf" TargetMode="External"/><Relationship Id="rId42" Type="http://schemas.openxmlformats.org/officeDocument/2006/relationships/hyperlink" Target="https://www.gov.uk/government/publications/valuation-of-energy-use-and-greenhouse-gas-emissions-for-appraisal" TargetMode="External"/><Relationship Id="rId47" Type="http://schemas.openxmlformats.org/officeDocument/2006/relationships/hyperlink" Target="https://www.gov.uk/government/publications/valuation-of-energy-use-and-greenhouse-gas-emissions-for-appraisal" TargetMode="External"/><Relationship Id="rId63" Type="http://schemas.openxmlformats.org/officeDocument/2006/relationships/hyperlink" Target="https://www.gov.uk/government/publications/smart-meter-roll-out-cost-benefit-analysis-2019" TargetMode="External"/><Relationship Id="rId68" Type="http://schemas.openxmlformats.org/officeDocument/2006/relationships/hyperlink" Target="https://www.gov.uk/government/publications/greenhouse-gas-reporting-conversion-factors-2021" TargetMode="External"/><Relationship Id="rId84" Type="http://schemas.openxmlformats.org/officeDocument/2006/relationships/hyperlink" Target="https://www.gov.uk/government/publications/smart-meter-roll-out-cost-benefit-analysis-2019" TargetMode="External"/><Relationship Id="rId89" Type="http://schemas.openxmlformats.org/officeDocument/2006/relationships/hyperlink" Target="https://www.gov.uk/government/publications/assess-the-impact-of-air-quality" TargetMode="External"/><Relationship Id="rId112" Type="http://schemas.openxmlformats.org/officeDocument/2006/relationships/hyperlink" Target="https://www.gov.uk/government/publications/the-green-book-appraisal-and-evaluation-in-central-governent" TargetMode="External"/><Relationship Id="rId16" Type="http://schemas.openxmlformats.org/officeDocument/2006/relationships/hyperlink" Target="https://www.gov.uk/government/uploads/system/uploads/attachment_data/file/424254/heat_networks.pdf" TargetMode="External"/><Relationship Id="rId107" Type="http://schemas.openxmlformats.org/officeDocument/2006/relationships/hyperlink" Target="https://www.gov.uk/government/publications/the-green-book-appraisal-and-evaluation-in-central-governent" TargetMode="External"/><Relationship Id="rId11" Type="http://schemas.openxmlformats.org/officeDocument/2006/relationships/hyperlink" Target="http://www.energysavingtrust.org.uk/home-energy-efficiency/energy-efficient-windows" TargetMode="External"/><Relationship Id="rId32" Type="http://schemas.openxmlformats.org/officeDocument/2006/relationships/hyperlink" Target="https://www.gov.uk/government/publications/department-for-communities-and-local-government-appraisal-guide" TargetMode="External"/><Relationship Id="rId37" Type="http://schemas.openxmlformats.org/officeDocument/2006/relationships/hyperlink" Target="https://www.gov.uk/government/publications/valuation-of-energy-use-and-greenhouse-gas-emissions-for-appraisal" TargetMode="External"/><Relationship Id="rId53" Type="http://schemas.openxmlformats.org/officeDocument/2006/relationships/hyperlink" Target="https://www.gov.uk/government/publications/valuation-of-energy-use-and-greenhouse-gas-emissions-for-appraisal" TargetMode="External"/><Relationship Id="rId58" Type="http://schemas.openxmlformats.org/officeDocument/2006/relationships/hyperlink" Target="https://www.gov.uk/government/publications/valuation-of-energy-use-and-greenhouse-gas-emissions-for-appraisal" TargetMode="External"/><Relationship Id="rId74" Type="http://schemas.openxmlformats.org/officeDocument/2006/relationships/hyperlink" Target="https://www.gov.uk/government/statistics/national-energy-efficiency-data-framework-need-impact-of-measures-data-tables-2021" TargetMode="External"/><Relationship Id="rId79" Type="http://schemas.openxmlformats.org/officeDocument/2006/relationships/hyperlink" Target="https://www.gov.uk/government/statistics/national-energy-efficiency-data-framework-need-impact-of-measures-data-tables-2021" TargetMode="External"/><Relationship Id="rId102" Type="http://schemas.openxmlformats.org/officeDocument/2006/relationships/hyperlink" Target="https://s3.eu-west-1.amazonaws.com/data.defra.gov.uk/ENCA/ENCA_Services_Databook_October_2021_update.xlsm" TargetMode="External"/><Relationship Id="rId5" Type="http://schemas.openxmlformats.org/officeDocument/2006/relationships/hyperlink" Target="https://www.gov.uk/government/publications/domestic-cost-assumptions-what-does-it-cost-to-retrofit-homes" TargetMode="External"/><Relationship Id="rId90" Type="http://schemas.openxmlformats.org/officeDocument/2006/relationships/hyperlink" Target="https://www.gov.uk/government/publications/assess-the-impact-of-air-quality" TargetMode="External"/><Relationship Id="rId95" Type="http://schemas.openxmlformats.org/officeDocument/2006/relationships/hyperlink" Target="https://s3.eu-west-1.amazonaws.com/data.defra.gov.uk/ENCA/ENCA_Services_Databook_October_2021_update.xlsm" TargetMode="External"/><Relationship Id="rId22" Type="http://schemas.openxmlformats.org/officeDocument/2006/relationships/hyperlink" Target="http://www.energysavingtrust.org.uk/home-insulation/insulating-tanks-pipes-and-radiators" TargetMode="External"/><Relationship Id="rId27" Type="http://schemas.openxmlformats.org/officeDocument/2006/relationships/hyperlink" Target="https://assets.publishing.service.gov.uk/government/uploads/system/uploads/attachment_data/file/593455/Electricity_Networks__Storage_ENS_TINA.pdf" TargetMode="External"/><Relationship Id="rId43" Type="http://schemas.openxmlformats.org/officeDocument/2006/relationships/hyperlink" Target="https://www.gov.uk/government/publications/valuation-of-energy-use-and-greenhouse-gas-emissions-for-appraisal" TargetMode="External"/><Relationship Id="rId48" Type="http://schemas.openxmlformats.org/officeDocument/2006/relationships/hyperlink" Target="https://www.gov.uk/government/publications/valuation-of-energy-use-and-greenhouse-gas-emissions-for-appraisal" TargetMode="External"/><Relationship Id="rId64" Type="http://schemas.openxmlformats.org/officeDocument/2006/relationships/hyperlink" Target="https://www.gov.uk/government/publications/greenhouse-gas-reporting-conversion-factors-2021" TargetMode="External"/><Relationship Id="rId69" Type="http://schemas.openxmlformats.org/officeDocument/2006/relationships/hyperlink" Target="https://www.gov.uk/government/publications/greenhouse-gas-reporting-conversion-factors-2021" TargetMode="External"/><Relationship Id="rId113" Type="http://schemas.openxmlformats.org/officeDocument/2006/relationships/hyperlink" Target="https://www.gov.uk/government/publications/the-green-book-appraisal-and-evaluation-in-central-governent" TargetMode="External"/><Relationship Id="rId80" Type="http://schemas.openxmlformats.org/officeDocument/2006/relationships/hyperlink" Target="https://www.gov.uk/government/statistics/national-energy-efficiency-data-framework-need-impact-of-measures-data-tables-2021" TargetMode="External"/><Relationship Id="rId85" Type="http://schemas.openxmlformats.org/officeDocument/2006/relationships/hyperlink" Target="https://www.gov.uk/government/publications/assess-the-impact-of-air-quality" TargetMode="External"/><Relationship Id="rId12" Type="http://schemas.openxmlformats.org/officeDocument/2006/relationships/hyperlink" Target="https://www.gov.uk/government/publications/domestic-cost-assumptions-what-does-it-cost-to-retrofit-homes" TargetMode="External"/><Relationship Id="rId17" Type="http://schemas.openxmlformats.org/officeDocument/2006/relationships/hyperlink" Target="https://www.gov.uk/government/uploads/system/uploads/attachment_data/file/424254/heat_networks.pdf" TargetMode="External"/><Relationship Id="rId33" Type="http://schemas.openxmlformats.org/officeDocument/2006/relationships/hyperlink" Target="https://www.gov.uk/government/publications/department-for-communities-and-local-government-appraisal-guide" TargetMode="External"/><Relationship Id="rId38" Type="http://schemas.openxmlformats.org/officeDocument/2006/relationships/hyperlink" Target="https://www.gov.uk/government/publications/valuation-of-energy-use-and-greenhouse-gas-emissions-for-appraisal" TargetMode="External"/><Relationship Id="rId59" Type="http://schemas.openxmlformats.org/officeDocument/2006/relationships/hyperlink" Target="https://www.gov.uk/government/publications/valuation-of-energy-use-and-greenhouse-gas-emissions-for-appraisal" TargetMode="External"/><Relationship Id="rId103" Type="http://schemas.openxmlformats.org/officeDocument/2006/relationships/hyperlink" Target="https://s3.eu-west-1.amazonaws.com/data.defra.gov.uk/ENCA/ENCA_Services_Databook_October_2021_update.xlsm" TargetMode="External"/><Relationship Id="rId108" Type="http://schemas.openxmlformats.org/officeDocument/2006/relationships/hyperlink" Target="https://www.gov.uk/government/publications/the-green-book-appraisal-and-evaluation-in-central-governent" TargetMode="External"/><Relationship Id="rId54" Type="http://schemas.openxmlformats.org/officeDocument/2006/relationships/hyperlink" Target="https://www.gov.uk/government/publications/valuation-of-energy-use-and-greenhouse-gas-emissions-for-appraisal" TargetMode="External"/><Relationship Id="rId70" Type="http://schemas.openxmlformats.org/officeDocument/2006/relationships/hyperlink" Target="https://www.gov.uk/government/publications/greenhouse-gas-reporting-conversion-factors-2021" TargetMode="External"/><Relationship Id="rId75" Type="http://schemas.openxmlformats.org/officeDocument/2006/relationships/hyperlink" Target="https://www.gov.uk/government/statistics/national-energy-efficiency-data-framework-need-impact-of-measures-data-tables-2021" TargetMode="External"/><Relationship Id="rId91" Type="http://schemas.openxmlformats.org/officeDocument/2006/relationships/hyperlink" Target="https://www.gov.uk/government/publications/assess-the-impact-of-air-quality" TargetMode="External"/><Relationship Id="rId96" Type="http://schemas.openxmlformats.org/officeDocument/2006/relationships/hyperlink" Target="https://s3.eu-west-1.amazonaws.com/data.defra.gov.uk/ENCA/ENCA_Services_Databook_October_2021_update.xlsm" TargetMode="External"/><Relationship Id="rId1" Type="http://schemas.openxmlformats.org/officeDocument/2006/relationships/hyperlink" Target="https://www.gov.uk/government/publications/assess-the-impact-of-air-quality" TargetMode="External"/><Relationship Id="rId6" Type="http://schemas.openxmlformats.org/officeDocument/2006/relationships/hyperlink" Target="https://www.gov.uk/government/publications/domestic-cost-assumptions-what-does-it-cost-to-retrofit-homes" TargetMode="External"/><Relationship Id="rId15" Type="http://schemas.openxmlformats.org/officeDocument/2006/relationships/hyperlink" Target="https://www.gov.uk/government/publications/domestic-cost-assumptions-what-does-it-cost-to-retrofit-homes" TargetMode="External"/><Relationship Id="rId23" Type="http://schemas.openxmlformats.org/officeDocument/2006/relationships/hyperlink" Target="https://www.gov.uk/government/uploads/system/uploads/attachment_data/file/545246/Solar_PVT_FINAL__1_.pdf" TargetMode="External"/><Relationship Id="rId28" Type="http://schemas.openxmlformats.org/officeDocument/2006/relationships/hyperlink" Target="https://www.gov.uk/government/statistics/national-energy-efficiency-data-framework-need-impact-of-measures-data-tables-2021" TargetMode="External"/><Relationship Id="rId36" Type="http://schemas.openxmlformats.org/officeDocument/2006/relationships/hyperlink" Target="https://www.gov.uk/government/publications/valuation-of-energy-use-and-greenhouse-gas-emissions-for-appraisal" TargetMode="External"/><Relationship Id="rId49" Type="http://schemas.openxmlformats.org/officeDocument/2006/relationships/hyperlink" Target="https://www.gov.uk/government/publications/valuation-of-energy-use-and-greenhouse-gas-emissions-for-appraisal" TargetMode="External"/><Relationship Id="rId57" Type="http://schemas.openxmlformats.org/officeDocument/2006/relationships/hyperlink" Target="https://www.gov.uk/government/publications/valuation-of-energy-use-and-greenhouse-gas-emissions-for-appraisal" TargetMode="External"/><Relationship Id="rId106" Type="http://schemas.openxmlformats.org/officeDocument/2006/relationships/hyperlink" Target="https://www.gov.uk/government/publications/the-green-book-appraisal-and-evaluation-in-central-governent" TargetMode="External"/><Relationship Id="rId114" Type="http://schemas.openxmlformats.org/officeDocument/2006/relationships/hyperlink" Target="https://www.gov.uk/government/publications/the-green-book-appraisal-and-evaluation-in-central-governent" TargetMode="External"/><Relationship Id="rId10" Type="http://schemas.openxmlformats.org/officeDocument/2006/relationships/hyperlink" Target="https://www.gov.uk/government/publications/domestic-cost-assumptions-what-does-it-cost-to-retrofit-homes" TargetMode="External"/><Relationship Id="rId31" Type="http://schemas.openxmlformats.org/officeDocument/2006/relationships/hyperlink" Target="https://www.gov.uk/government/publications/department-for-communities-and-local-government-appraisal-guide" TargetMode="External"/><Relationship Id="rId44" Type="http://schemas.openxmlformats.org/officeDocument/2006/relationships/hyperlink" Target="https://www.gov.uk/government/publications/valuation-of-energy-use-and-greenhouse-gas-emissions-for-appraisal" TargetMode="External"/><Relationship Id="rId52" Type="http://schemas.openxmlformats.org/officeDocument/2006/relationships/hyperlink" Target="https://www.gov.uk/government/publications/valuation-of-energy-use-and-greenhouse-gas-emissions-for-appraisal" TargetMode="External"/><Relationship Id="rId60" Type="http://schemas.openxmlformats.org/officeDocument/2006/relationships/hyperlink" Target="https://www.gov.uk/government/publications/smart-meter-roll-out-cost-benefit-analysis-2019" TargetMode="External"/><Relationship Id="rId65" Type="http://schemas.openxmlformats.org/officeDocument/2006/relationships/hyperlink" Target="https://www.gov.uk/government/publications/greenhouse-gas-reporting-conversion-factors-2021" TargetMode="External"/><Relationship Id="rId73" Type="http://schemas.openxmlformats.org/officeDocument/2006/relationships/hyperlink" Target="https://www.gov.uk/government/statistics/national-energy-efficiency-data-framework-need-impact-of-measures-data-tables-2021" TargetMode="External"/><Relationship Id="rId78" Type="http://schemas.openxmlformats.org/officeDocument/2006/relationships/hyperlink" Target="https://www.gov.uk/government/statistics/national-energy-efficiency-data-framework-need-impact-of-measures-data-tables-2021" TargetMode="External"/><Relationship Id="rId81" Type="http://schemas.openxmlformats.org/officeDocument/2006/relationships/hyperlink" Target="https://www.gov.uk/government/statistics/national-energy-efficiency-data-framework-need-impact-of-measures-data-tables-2021" TargetMode="External"/><Relationship Id="rId86" Type="http://schemas.openxmlformats.org/officeDocument/2006/relationships/hyperlink" Target="https://www.gov.uk/government/publications/assess-the-impact-of-air-quality" TargetMode="External"/><Relationship Id="rId94" Type="http://schemas.openxmlformats.org/officeDocument/2006/relationships/hyperlink" Target="https://s3.eu-west-1.amazonaws.com/data.defra.gov.uk/ENCA/ENCA_Services_Databook_October_2021_update.xlsm" TargetMode="External"/><Relationship Id="rId99" Type="http://schemas.openxmlformats.org/officeDocument/2006/relationships/hyperlink" Target="https://s3.eu-west-1.amazonaws.com/data.defra.gov.uk/ENCA/ENCA_Services_Databook_October_2021_update.xlsm" TargetMode="External"/><Relationship Id="rId101" Type="http://schemas.openxmlformats.org/officeDocument/2006/relationships/hyperlink" Target="https://s3.eu-west-1.amazonaws.com/data.defra.gov.uk/ENCA/ENCA_Services_Databook_October_2021_update.xlsm" TargetMode="External"/><Relationship Id="rId4" Type="http://schemas.openxmlformats.org/officeDocument/2006/relationships/hyperlink" Target="https://www.gov.uk/government/publications/domestic-cost-assumptions-what-does-it-cost-to-retrofit-homes" TargetMode="External"/><Relationship Id="rId9" Type="http://schemas.openxmlformats.org/officeDocument/2006/relationships/hyperlink" Target="https://www.gov.uk/government/publications/domestic-cost-assumptions-what-does-it-cost-to-retrofit-homes" TargetMode="External"/><Relationship Id="rId13" Type="http://schemas.openxmlformats.org/officeDocument/2006/relationships/hyperlink" Target="https://www.gov.uk/government/publications/domestic-cost-assumptions-what-does-it-cost-to-retrofit-homes" TargetMode="External"/><Relationship Id="rId18" Type="http://schemas.openxmlformats.org/officeDocument/2006/relationships/hyperlink" Target="https://www.gov.uk/government/uploads/system/uploads/attachment_data/file/424254/heat_networks.pdf" TargetMode="External"/><Relationship Id="rId39" Type="http://schemas.openxmlformats.org/officeDocument/2006/relationships/hyperlink" Target="https://www.gov.uk/government/publications/valuation-of-energy-use-and-greenhouse-gas-emissions-for-appraisal" TargetMode="External"/><Relationship Id="rId109" Type="http://schemas.openxmlformats.org/officeDocument/2006/relationships/hyperlink" Target="https://www.gov.uk/government/publications/the-green-book-appraisal-and-evaluation-in-central-governent" TargetMode="External"/><Relationship Id="rId34" Type="http://schemas.openxmlformats.org/officeDocument/2006/relationships/hyperlink" Target="https://www.gov.uk/government/publications/valuation-of-energy-use-and-greenhouse-gas-emissions-for-appraisal" TargetMode="External"/><Relationship Id="rId50" Type="http://schemas.openxmlformats.org/officeDocument/2006/relationships/hyperlink" Target="https://www.gov.uk/government/publications/valuation-of-energy-use-and-greenhouse-gas-emissions-for-appraisal" TargetMode="External"/><Relationship Id="rId55" Type="http://schemas.openxmlformats.org/officeDocument/2006/relationships/hyperlink" Target="https://www.gov.uk/government/publications/valuation-of-energy-use-and-greenhouse-gas-emissions-for-appraisal" TargetMode="External"/><Relationship Id="rId76" Type="http://schemas.openxmlformats.org/officeDocument/2006/relationships/hyperlink" Target="https://www.gov.uk/government/statistics/national-energy-efficiency-data-framework-need-impact-of-measures-data-tables-2021" TargetMode="External"/><Relationship Id="rId97" Type="http://schemas.openxmlformats.org/officeDocument/2006/relationships/hyperlink" Target="https://s3.eu-west-1.amazonaws.com/data.defra.gov.uk/ENCA/ENCA_Services_Databook_October_2021_update.xlsm" TargetMode="External"/><Relationship Id="rId104" Type="http://schemas.openxmlformats.org/officeDocument/2006/relationships/hyperlink" Target="https://s3.eu-west-1.amazonaws.com/data.defra.gov.uk/ENCA/ENCA_Services_Databook_October_2021_update.xlsm" TargetMode="External"/><Relationship Id="rId7" Type="http://schemas.openxmlformats.org/officeDocument/2006/relationships/hyperlink" Target="https://www.gov.uk/government/publications/domestic-cost-assumptions-what-does-it-cost-to-retrofit-homes" TargetMode="External"/><Relationship Id="rId71" Type="http://schemas.openxmlformats.org/officeDocument/2006/relationships/hyperlink" Target="https://www.gov.uk/government/statistics/energy-consumption-in-the-uk-2021" TargetMode="External"/><Relationship Id="rId92" Type="http://schemas.openxmlformats.org/officeDocument/2006/relationships/hyperlink" Target="https://s3.eu-west-1.amazonaws.com/data.defra.gov.uk/ENCA/ENCA_Services_Databook_October_2021_update.xlsm" TargetMode="External"/><Relationship Id="rId2" Type="http://schemas.openxmlformats.org/officeDocument/2006/relationships/hyperlink" Target="https://www.gov.uk/government/publications/department-for-communities-and-local-government-appraisal-guide" TargetMode="External"/><Relationship Id="rId29" Type="http://schemas.openxmlformats.org/officeDocument/2006/relationships/hyperlink" Target="https://www.gov.uk/government/publications/department-for-communities-and-local-government-appraisal-guide" TargetMode="External"/><Relationship Id="rId24" Type="http://schemas.openxmlformats.org/officeDocument/2006/relationships/hyperlink" Target="https://assets.publishing.service.gov.uk/government/uploads/system/uploads/attachment_data/file/593455/Electricity_Networks__Storage_ENS_TINA.pdf" TargetMode="External"/><Relationship Id="rId40" Type="http://schemas.openxmlformats.org/officeDocument/2006/relationships/hyperlink" Target="https://www.gov.uk/government/publications/valuation-of-energy-use-and-greenhouse-gas-emissions-for-appraisal" TargetMode="External"/><Relationship Id="rId45" Type="http://schemas.openxmlformats.org/officeDocument/2006/relationships/hyperlink" Target="https://www.gov.uk/government/publications/valuation-of-energy-use-and-greenhouse-gas-emissions-for-appraisal" TargetMode="External"/><Relationship Id="rId66" Type="http://schemas.openxmlformats.org/officeDocument/2006/relationships/hyperlink" Target="https://www.gov.uk/government/publications/greenhouse-gas-reporting-conversion-factors-2021" TargetMode="External"/><Relationship Id="rId87" Type="http://schemas.openxmlformats.org/officeDocument/2006/relationships/hyperlink" Target="https://www.gov.uk/government/publications/assess-the-impact-of-air-quality" TargetMode="External"/><Relationship Id="rId110" Type="http://schemas.openxmlformats.org/officeDocument/2006/relationships/hyperlink" Target="https://www.gov.uk/government/publications/the-green-book-appraisal-and-evaluation-in-central-governent" TargetMode="External"/><Relationship Id="rId115" Type="http://schemas.openxmlformats.org/officeDocument/2006/relationships/printerSettings" Target="../printerSettings/printerSettings6.bin"/><Relationship Id="rId61" Type="http://schemas.openxmlformats.org/officeDocument/2006/relationships/hyperlink" Target="https://www.gov.uk/government/publications/smart-meter-roll-out-cost-benefit-analysis-2019" TargetMode="External"/><Relationship Id="rId82" Type="http://schemas.openxmlformats.org/officeDocument/2006/relationships/hyperlink" Target="https://assets.publishing.service.gov.uk/government/uploads/system/uploads/attachment_data/file/502500/DECC_Heat_Pumps_in_District_Heating_-_Final_report.pdf" TargetMode="External"/><Relationship Id="rId19" Type="http://schemas.openxmlformats.org/officeDocument/2006/relationships/hyperlink" Target="https://www.gov.uk/government/uploads/system/uploads/attachment_data/file/424254/heat_networks.pdf" TargetMode="External"/><Relationship Id="rId14" Type="http://schemas.openxmlformats.org/officeDocument/2006/relationships/hyperlink" Target="https://www.gov.uk/government/publications/domestic-cost-assumptions-what-does-it-cost-to-retrofit-homes" TargetMode="External"/><Relationship Id="rId30" Type="http://schemas.openxmlformats.org/officeDocument/2006/relationships/hyperlink" Target="https://www.gov.uk/government/publications/department-for-communities-and-local-government-appraisal-guide" TargetMode="External"/><Relationship Id="rId35" Type="http://schemas.openxmlformats.org/officeDocument/2006/relationships/hyperlink" Target="https://www.gov.uk/government/publications/valuation-of-energy-use-and-greenhouse-gas-emissions-for-appraisal" TargetMode="External"/><Relationship Id="rId56" Type="http://schemas.openxmlformats.org/officeDocument/2006/relationships/hyperlink" Target="https://www.gov.uk/government/publications/valuation-of-energy-use-and-greenhouse-gas-emissions-for-appraisal" TargetMode="External"/><Relationship Id="rId77" Type="http://schemas.openxmlformats.org/officeDocument/2006/relationships/hyperlink" Target="https://www.gov.uk/government/statistics/national-energy-efficiency-data-framework-need-impact-of-measures-data-tables-2021" TargetMode="External"/><Relationship Id="rId100" Type="http://schemas.openxmlformats.org/officeDocument/2006/relationships/hyperlink" Target="https://s3.eu-west-1.amazonaws.com/data.defra.gov.uk/ENCA/ENCA_Services_Databook_October_2021_update.xlsm" TargetMode="External"/><Relationship Id="rId105" Type="http://schemas.openxmlformats.org/officeDocument/2006/relationships/hyperlink" Target="https://www.gov.uk/government/statistics/energy-consumption-in-the-uk-2021" TargetMode="External"/><Relationship Id="rId8" Type="http://schemas.openxmlformats.org/officeDocument/2006/relationships/hyperlink" Target="https://www.gov.uk/government/publications/domestic-cost-assumptions-what-does-it-cost-to-retrofit-homes" TargetMode="External"/><Relationship Id="rId51" Type="http://schemas.openxmlformats.org/officeDocument/2006/relationships/hyperlink" Target="https://www.gov.uk/government/publications/valuation-of-energy-use-and-greenhouse-gas-emissions-for-appraisal" TargetMode="External"/><Relationship Id="rId72" Type="http://schemas.openxmlformats.org/officeDocument/2006/relationships/hyperlink" Target="https://www.gov.uk/government/publications/valuing-greenhouse-gas-emissions-in-policy-appraisal/valuation-of-greenhouse-gas-emissions-for-policy-appraisal-and-evaluation" TargetMode="External"/><Relationship Id="rId93" Type="http://schemas.openxmlformats.org/officeDocument/2006/relationships/hyperlink" Target="https://www.gov.uk/government/publications/the-green-book-appraisal-and-evaluation-in-central-governent" TargetMode="External"/><Relationship Id="rId98" Type="http://schemas.openxmlformats.org/officeDocument/2006/relationships/hyperlink" Target="https://s3.eu-west-1.amazonaws.com/data.defra.gov.uk/ENCA/ENCA_Services_Databook_October_2021_update.xlsm" TargetMode="External"/><Relationship Id="rId3" Type="http://schemas.openxmlformats.org/officeDocument/2006/relationships/hyperlink" Target="https://www.gov.uk/government/publications/domestic-cost-assumptions-what-does-it-cost-to-retrofit-homes" TargetMode="External"/><Relationship Id="rId25" Type="http://schemas.openxmlformats.org/officeDocument/2006/relationships/hyperlink" Target="https://www.gov.uk/government/uploads/system/uploads/attachment_data/file/224028/value_lost_load_electricty_gb.pdf" TargetMode="External"/><Relationship Id="rId46" Type="http://schemas.openxmlformats.org/officeDocument/2006/relationships/hyperlink" Target="https://www.gov.uk/government/publications/valuation-of-energy-use-and-greenhouse-gas-emissions-for-appraisal" TargetMode="External"/><Relationship Id="rId67" Type="http://schemas.openxmlformats.org/officeDocument/2006/relationships/hyperlink" Target="https://www.gov.uk/government/publications/greenhouse-gas-reporting-conversion-factors-2021" TargetMode="External"/><Relationship Id="rId20" Type="http://schemas.openxmlformats.org/officeDocument/2006/relationships/hyperlink" Target="https://www.gov.uk/government/uploads/system/uploads/attachment_data/file/606818/DECC_RHPP_161214_Final_Report_v1-13.pdf" TargetMode="External"/><Relationship Id="rId41" Type="http://schemas.openxmlformats.org/officeDocument/2006/relationships/hyperlink" Target="https://www.gov.uk/government/publications/valuation-of-energy-use-and-greenhouse-gas-emissions-for-appraisal" TargetMode="External"/><Relationship Id="rId62" Type="http://schemas.openxmlformats.org/officeDocument/2006/relationships/hyperlink" Target="https://www.gov.uk/government/publications/smart-meter-roll-out-cost-benefit-analysis-2019" TargetMode="External"/><Relationship Id="rId83" Type="http://schemas.openxmlformats.org/officeDocument/2006/relationships/hyperlink" Target="https://www.gov.uk/government/publications/smart-meter-roll-out-cost-benefit-analysis-2019" TargetMode="External"/><Relationship Id="rId88" Type="http://schemas.openxmlformats.org/officeDocument/2006/relationships/hyperlink" Target="https://www.gov.uk/government/publications/assess-the-impact-of-air-quality" TargetMode="External"/><Relationship Id="rId111" Type="http://schemas.openxmlformats.org/officeDocument/2006/relationships/hyperlink" Target="https://www.gov.uk/government/publications/the-green-book-appraisal-and-evaluation-in-central-governent"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ebarchive.nationalarchives.gov.uk/20121108165934/http:/www.communities.gov.uk/archived/general-content/corporate/researcharchive/volume2/" TargetMode="External"/><Relationship Id="rId13" Type="http://schemas.openxmlformats.org/officeDocument/2006/relationships/hyperlink" Target="http://webarchive.nationalarchives.gov.uk/20121108165934/http:/www.communities.gov.uk/archived/general-content/corporate/researcharchive/volume2/" TargetMode="External"/><Relationship Id="rId3" Type="http://schemas.openxmlformats.org/officeDocument/2006/relationships/hyperlink" Target="http://webarchive.nationalarchives.gov.uk/20121108165934/http:/www.communities.gov.uk/documents/corporate/pdf/1838338.pdf" TargetMode="External"/><Relationship Id="rId7" Type="http://schemas.openxmlformats.org/officeDocument/2006/relationships/hyperlink" Target="http://webarchive.nationalarchives.gov.uk/20121108165934/http:/www.communities.gov.uk/archived/general-content/corporate/researcharchive/volume2/" TargetMode="External"/><Relationship Id="rId12" Type="http://schemas.openxmlformats.org/officeDocument/2006/relationships/hyperlink" Target="http://webarchive.nationalarchives.gov.uk/20121108165934/http:/www.communities.gov.uk/archived/general-content/corporate/researcharchive/volume2/" TargetMode="External"/><Relationship Id="rId17" Type="http://schemas.openxmlformats.org/officeDocument/2006/relationships/printerSettings" Target="../printerSettings/printerSettings7.bin"/><Relationship Id="rId2" Type="http://schemas.openxmlformats.org/officeDocument/2006/relationships/hyperlink" Target="http://webarchive.nationalarchives.gov.uk/20121108165934/http:/www.communities.gov.uk/archived/general-content/corporate/researcharchive/volume2/" TargetMode="External"/><Relationship Id="rId16" Type="http://schemas.openxmlformats.org/officeDocument/2006/relationships/hyperlink" Target="http://webarchive.nationalarchives.gov.uk/20121108165934/http:/www.communities.gov.uk/archived/general-content/corporate/researcharchive/volume2/" TargetMode="External"/><Relationship Id="rId1" Type="http://schemas.openxmlformats.org/officeDocument/2006/relationships/hyperlink" Target="http://webarchive.nationalarchives.gov.uk/20121108165934/http:/www.communities.gov.uk/archived/general-content/corporate/researcharchive/volume2/" TargetMode="External"/><Relationship Id="rId6" Type="http://schemas.openxmlformats.org/officeDocument/2006/relationships/hyperlink" Target="http://webarchive.nationalarchives.gov.uk/20121108165934/http:/www.communities.gov.uk/archived/general-content/corporate/researcharchive/volume2/" TargetMode="External"/><Relationship Id="rId11" Type="http://schemas.openxmlformats.org/officeDocument/2006/relationships/hyperlink" Target="http://webarchive.nationalarchives.gov.uk/20121108165934/http:/www.communities.gov.uk/archived/general-content/corporate/researcharchive/volume2/" TargetMode="External"/><Relationship Id="rId5" Type="http://schemas.openxmlformats.org/officeDocument/2006/relationships/hyperlink" Target="http://webarchive.nationalarchives.gov.uk/20121108165934/http:/www.communities.gov.uk/archived/general-content/corporate/researcharchive/volume2/" TargetMode="External"/><Relationship Id="rId15" Type="http://schemas.openxmlformats.org/officeDocument/2006/relationships/hyperlink" Target="http://webarchive.nationalarchives.gov.uk/20121108165934/http:/www.communities.gov.uk/archived/general-content/corporate/researcharchive/volume2/" TargetMode="External"/><Relationship Id="rId10" Type="http://schemas.openxmlformats.org/officeDocument/2006/relationships/hyperlink" Target="http://webarchive.nationalarchives.gov.uk/20121108165934/http:/www.communities.gov.uk/archived/general-content/corporate/researcharchive/volume2/" TargetMode="External"/><Relationship Id="rId4" Type="http://schemas.openxmlformats.org/officeDocument/2006/relationships/hyperlink" Target="http://webarchive.nationalarchives.gov.uk/20121108165934/http:/www.communities.gov.uk/archived/general-content/corporate/researcharchive/volume2/" TargetMode="External"/><Relationship Id="rId9" Type="http://schemas.openxmlformats.org/officeDocument/2006/relationships/hyperlink" Target="http://webarchive.nationalarchives.gov.uk/20121108165934/http:/www.communities.gov.uk/archived/general-content/corporate/researcharchive/volume2/" TargetMode="External"/><Relationship Id="rId14" Type="http://schemas.openxmlformats.org/officeDocument/2006/relationships/hyperlink" Target="http://webarchive.nationalarchives.gov.uk/20121108165934/http:/www.communities.gov.uk/archived/general-content/corporate/researcharchive/volume2/"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england.shelter.org.uk/professional_resources/policy_and_research/policy_library/briefing_immediate_costs_to_government_of_losing_a_home" TargetMode="External"/><Relationship Id="rId21" Type="http://schemas.openxmlformats.org/officeDocument/2006/relationships/hyperlink" Target="https://www.york.ac.uk/media/chp/documents/2015/CostsofHomelessness.pdf" TargetMode="External"/><Relationship Id="rId42" Type="http://schemas.openxmlformats.org/officeDocument/2006/relationships/hyperlink" Target="https://assets.publishing.service.gov.uk/government/uploads/system/uploads/attachment_data/file/1056543/Value_for_Money_metrics_report_2021_Annex_to_Global_accounts_FINAL.pdf" TargetMode="External"/><Relationship Id="rId47" Type="http://schemas.openxmlformats.org/officeDocument/2006/relationships/hyperlink" Target="https://stat-xplore.dwp.gov.uk/webapi/jsf/login.xhtml" TargetMode="External"/><Relationship Id="rId63" Type="http://schemas.openxmlformats.org/officeDocument/2006/relationships/hyperlink" Target="https://assets.publishing.service.gov.uk/government/uploads/system/uploads/attachment_data/file/1028721/LARP_briefing_note__FINAL__V1.0.pdf" TargetMode="External"/><Relationship Id="rId68" Type="http://schemas.openxmlformats.org/officeDocument/2006/relationships/hyperlink" Target="https://assets.publishing.service.gov.uk/government/uploads/system/uploads/attachment_data/file/1026885/PRP_statistic_2020-21_RENTS_briefing_notes_v1.0__FINAL_.pdf" TargetMode="External"/><Relationship Id="rId2" Type="http://schemas.openxmlformats.org/officeDocument/2006/relationships/hyperlink" Target="http://england.shelter.org.uk/__data/assets/pdf_file/0003/415596/Immediate_costs_to_government_of_losing_a_home.pdf" TargetMode="External"/><Relationship Id="rId16" Type="http://schemas.openxmlformats.org/officeDocument/2006/relationships/hyperlink" Target="https://england.shelter.org.uk/professional_resources/policy_and_research/policy_library/briefing_immediate_costs_to_government_of_losing_a_home" TargetMode="External"/><Relationship Id="rId29" Type="http://schemas.openxmlformats.org/officeDocument/2006/relationships/hyperlink" Target="https://england.shelter.org.uk/professional_resources/policy_and_research/policy_library/briefing_immediate_costs_to_government_of_losing_a_home" TargetMode="External"/><Relationship Id="rId11" Type="http://schemas.openxmlformats.org/officeDocument/2006/relationships/hyperlink" Target="https://england.shelter.org.uk/professional_resources/policy_and_research/policy_library/briefing_immediate_costs_to_government_of_losing_a_home" TargetMode="External"/><Relationship Id="rId24" Type="http://schemas.openxmlformats.org/officeDocument/2006/relationships/hyperlink" Target="https://england.shelter.org.uk/professional_resources/policy_and_research/policy_library/briefing_immediate_costs_to_government_of_losing_a_home" TargetMode="External"/><Relationship Id="rId32" Type="http://schemas.openxmlformats.org/officeDocument/2006/relationships/hyperlink" Target="https://england.shelter.org.uk/professional_resources/policy_and_research/policy_library/briefing_immediate_costs_to_government_of_losing_a_home" TargetMode="External"/><Relationship Id="rId37" Type="http://schemas.openxmlformats.org/officeDocument/2006/relationships/hyperlink" Target="https://www.npi.org.uk/publications/housing-and-homelessness/how-many-how-much-single-homelessness-and-question-numbers/" TargetMode="External"/><Relationship Id="rId40" Type="http://schemas.openxmlformats.org/officeDocument/2006/relationships/hyperlink" Target="https://www.york.ac.uk/media/chp/documents/2015/CostsofHomelessness.pdf" TargetMode="External"/><Relationship Id="rId45" Type="http://schemas.openxmlformats.org/officeDocument/2006/relationships/hyperlink" Target="https://stat-xplore.dwp.gov.uk/webapi/jsf/login.xhtml" TargetMode="External"/><Relationship Id="rId53" Type="http://schemas.openxmlformats.org/officeDocument/2006/relationships/hyperlink" Target="https://www.ons.gov.uk/peoplepopulationandcommunity/housing/datasets/privaterentalmarketsummarystatisticsinengland" TargetMode="External"/><Relationship Id="rId58" Type="http://schemas.openxmlformats.org/officeDocument/2006/relationships/hyperlink" Target="https://www.ons.gov.uk/peoplepopulationandcommunity/housing/datasets/privaterentalmarketsummarystatisticsinengland" TargetMode="External"/><Relationship Id="rId66" Type="http://schemas.openxmlformats.org/officeDocument/2006/relationships/hyperlink" Target="https://assets.publishing.service.gov.uk/government/uploads/system/uploads/attachment_data/file/1026885/PRP_statistic_2020-21_RENTS_briefing_notes_v1.0__FINAL_.pdf" TargetMode="External"/><Relationship Id="rId74" Type="http://schemas.openxmlformats.org/officeDocument/2006/relationships/hyperlink" Target="https://assets.publishing.service.gov.uk/government/uploads/system/uploads/attachment_data/file/1026885/PRP_statistic_2020-21_RENTS_briefing_notes_v1.0__FINAL_.pdf" TargetMode="External"/><Relationship Id="rId5" Type="http://schemas.openxmlformats.org/officeDocument/2006/relationships/hyperlink" Target="https://england.shelter.org.uk/professional_resources/policy_and_research/policy_library/briefing_immediate_costs_to_government_of_losing_a_home" TargetMode="External"/><Relationship Id="rId61" Type="http://schemas.openxmlformats.org/officeDocument/2006/relationships/hyperlink" Target="https://assets.publishing.service.gov.uk/government/uploads/system/uploads/attachment_data/file/1028721/LARP_briefing_note__FINAL__V1.0.pdf" TargetMode="External"/><Relationship Id="rId19" Type="http://schemas.openxmlformats.org/officeDocument/2006/relationships/hyperlink" Target="https://assets.publishing.service.gov.uk/government/uploads/system/uploads/attachment_data/file/1026885/PRP_statistic_2020-21_RENTS_briefing_notes_v1.0__FINAL_.pdf" TargetMode="External"/><Relationship Id="rId14" Type="http://schemas.openxmlformats.org/officeDocument/2006/relationships/hyperlink" Target="https://england.shelter.org.uk/professional_resources/policy_and_research/policy_library/briefing_immediate_costs_to_government_of_losing_a_home" TargetMode="External"/><Relationship Id="rId22" Type="http://schemas.openxmlformats.org/officeDocument/2006/relationships/hyperlink" Target="http://www.crisis.org.uk/data/files/publications/CostsofHomelessness_Finalweb.pdf" TargetMode="External"/><Relationship Id="rId27" Type="http://schemas.openxmlformats.org/officeDocument/2006/relationships/hyperlink" Target="https://england.shelter.org.uk/professional_resources/policy_and_research/policy_library/briefing_immediate_costs_to_government_of_losing_a_home" TargetMode="External"/><Relationship Id="rId30" Type="http://schemas.openxmlformats.org/officeDocument/2006/relationships/hyperlink" Target="https://england.shelter.org.uk/professional_resources/policy_and_research/policy_library/briefing_immediate_costs_to_government_of_losing_a_home" TargetMode="External"/><Relationship Id="rId35" Type="http://schemas.openxmlformats.org/officeDocument/2006/relationships/hyperlink" Target="https://england.shelter.org.uk/professional_resources/policy_and_research/policy_library/briefing_immediate_costs_to_government_of_losing_a_home" TargetMode="External"/><Relationship Id="rId43" Type="http://schemas.openxmlformats.org/officeDocument/2006/relationships/hyperlink" Target="https://stat-xplore.dwp.gov.uk/webapi/jsf/login.xhtml" TargetMode="External"/><Relationship Id="rId48" Type="http://schemas.openxmlformats.org/officeDocument/2006/relationships/hyperlink" Target="https://stat-xplore.dwp.gov.uk/webapi/jsf/login.xhtml" TargetMode="External"/><Relationship Id="rId56" Type="http://schemas.openxmlformats.org/officeDocument/2006/relationships/hyperlink" Target="https://www.ons.gov.uk/peoplepopulationandcommunity/housing/datasets/privaterentalmarketsummarystatisticsinengland" TargetMode="External"/><Relationship Id="rId64" Type="http://schemas.openxmlformats.org/officeDocument/2006/relationships/hyperlink" Target="https://assets.publishing.service.gov.uk/government/uploads/system/uploads/attachment_data/file/1026885/PRP_statistic_2020-21_RENTS_briefing_notes_v1.0__FINAL_.pdf" TargetMode="External"/><Relationship Id="rId69" Type="http://schemas.openxmlformats.org/officeDocument/2006/relationships/hyperlink" Target="https://assets.publishing.service.gov.uk/government/uploads/system/uploads/attachment_data/file/1026885/PRP_statistic_2020-21_RENTS_briefing_notes_v1.0__FINAL_.pdf" TargetMode="External"/><Relationship Id="rId8" Type="http://schemas.openxmlformats.org/officeDocument/2006/relationships/hyperlink" Target="https://england.shelter.org.uk/professional_resources/policy_and_research/policy_library/briefing_immediate_costs_to_government_of_losing_a_home" TargetMode="External"/><Relationship Id="rId51" Type="http://schemas.openxmlformats.org/officeDocument/2006/relationships/hyperlink" Target="https://assets.publishing.service.gov.uk/government/uploads/system/uploads/attachment_data/file/1026885/PRP_statistic_2020-21_RENTS_briefing_notes_v1.0__FINAL_.pdf" TargetMode="External"/><Relationship Id="rId72" Type="http://schemas.openxmlformats.org/officeDocument/2006/relationships/hyperlink" Target="https://assets.publishing.service.gov.uk/government/uploads/system/uploads/attachment_data/file/1026885/PRP_statistic_2020-21_RENTS_briefing_notes_v1.0__FINAL_.pdf" TargetMode="External"/><Relationship Id="rId3" Type="http://schemas.openxmlformats.org/officeDocument/2006/relationships/hyperlink" Target="http://england.shelter.org.uk/__data/assets/pdf_file/0003/415596/Immediate_costs_to_government_of_losing_a_home.pdf" TargetMode="External"/><Relationship Id="rId12" Type="http://schemas.openxmlformats.org/officeDocument/2006/relationships/hyperlink" Target="https://england.shelter.org.uk/professional_resources/policy_and_research/policy_library/briefing_immediate_costs_to_government_of_losing_a_home" TargetMode="External"/><Relationship Id="rId17" Type="http://schemas.openxmlformats.org/officeDocument/2006/relationships/hyperlink" Target="https://www.gov.uk/government/uploads/system/uploads/attachment_data/file/7596/2200485.pdf" TargetMode="External"/><Relationship Id="rId25" Type="http://schemas.openxmlformats.org/officeDocument/2006/relationships/hyperlink" Target="https://england.shelter.org.uk/professional_resources/policy_and_research/policy_library/briefing_immediate_costs_to_government_of_losing_a_home" TargetMode="External"/><Relationship Id="rId33" Type="http://schemas.openxmlformats.org/officeDocument/2006/relationships/hyperlink" Target="https://england.shelter.org.uk/professional_resources/policy_and_research/policy_library/briefing_immediate_costs_to_government_of_losing_a_home" TargetMode="External"/><Relationship Id="rId38" Type="http://schemas.openxmlformats.org/officeDocument/2006/relationships/hyperlink" Target="https://www.york.ac.uk/media/chp/documents/2015/CostsofHomelessness.pdf" TargetMode="External"/><Relationship Id="rId46" Type="http://schemas.openxmlformats.org/officeDocument/2006/relationships/hyperlink" Target="https://stat-xplore.dwp.gov.uk/webapi/jsf/login.xhtml" TargetMode="External"/><Relationship Id="rId59" Type="http://schemas.openxmlformats.org/officeDocument/2006/relationships/hyperlink" Target="https://assets.publishing.service.gov.uk/government/uploads/system/uploads/attachment_data/file/1028721/LARP_briefing_note__FINAL__V1.0.pdf" TargetMode="External"/><Relationship Id="rId67" Type="http://schemas.openxmlformats.org/officeDocument/2006/relationships/hyperlink" Target="https://assets.publishing.service.gov.uk/government/uploads/system/uploads/attachment_data/file/1026885/PRP_statistic_2020-21_RENTS_briefing_notes_v1.0__FINAL_.pdf" TargetMode="External"/><Relationship Id="rId20" Type="http://schemas.openxmlformats.org/officeDocument/2006/relationships/hyperlink" Target="https://lankellychase.org.uk/wp-content/uploads/2015/07/Hard-Edges-Mapping-SMD-2015.pdf" TargetMode="External"/><Relationship Id="rId41" Type="http://schemas.openxmlformats.org/officeDocument/2006/relationships/hyperlink" Target="https://www.york.ac.uk/media/chp/documents/2015/CostsofHomelessness.pdf" TargetMode="External"/><Relationship Id="rId54" Type="http://schemas.openxmlformats.org/officeDocument/2006/relationships/hyperlink" Target="https://www.ons.gov.uk/peoplepopulationandcommunity/housing/datasets/privaterentalmarketsummarystatisticsinengland" TargetMode="External"/><Relationship Id="rId62" Type="http://schemas.openxmlformats.org/officeDocument/2006/relationships/hyperlink" Target="https://assets.publishing.service.gov.uk/government/uploads/system/uploads/attachment_data/file/1028721/LARP_briefing_note__FINAL__V1.0.pdf" TargetMode="External"/><Relationship Id="rId70" Type="http://schemas.openxmlformats.org/officeDocument/2006/relationships/hyperlink" Target="https://assets.publishing.service.gov.uk/government/uploads/system/uploads/attachment_data/file/1026885/PRP_statistic_2020-21_RENTS_briefing_notes_v1.0__FINAL_.pdf" TargetMode="External"/><Relationship Id="rId75" Type="http://schemas.openxmlformats.org/officeDocument/2006/relationships/hyperlink" Target="https://assets.publishing.service.gov.uk/government/uploads/system/uploads/attachment_data/file/1026885/PRP_statistic_2020-21_RENTS_briefing_notes_v1.0__FINAL_.pdf" TargetMode="External"/><Relationship Id="rId1" Type="http://schemas.openxmlformats.org/officeDocument/2006/relationships/hyperlink" Target="https://england.shelter.org.uk/professional_resources/policy_and_research/policy_library/briefing_immediate_costs_to_government_of_losing_a_home" TargetMode="External"/><Relationship Id="rId6" Type="http://schemas.openxmlformats.org/officeDocument/2006/relationships/hyperlink" Target="https://england.shelter.org.uk/professional_resources/policy_and_research/policy_library/briefing_immediate_costs_to_government_of_losing_a_home" TargetMode="External"/><Relationship Id="rId15" Type="http://schemas.openxmlformats.org/officeDocument/2006/relationships/hyperlink" Target="http://england.shelter.org.uk/__data/assets/pdf_file/0003/415596/Immediate_costs_to_government_of_losing_a_home.pdf" TargetMode="External"/><Relationship Id="rId23" Type="http://schemas.openxmlformats.org/officeDocument/2006/relationships/hyperlink" Target="https://england.shelter.org.uk/professional_resources/policy_and_research/policy_library/briefing_immediate_costs_to_government_of_losing_a_home" TargetMode="External"/><Relationship Id="rId28" Type="http://schemas.openxmlformats.org/officeDocument/2006/relationships/hyperlink" Target="https://england.shelter.org.uk/professional_resources/policy_and_research/policy_library/briefing_immediate_costs_to_government_of_losing_a_home" TargetMode="External"/><Relationship Id="rId36" Type="http://schemas.openxmlformats.org/officeDocument/2006/relationships/hyperlink" Target="https://england.shelter.org.uk/professional_resources/policy_and_research/policy_library/briefing_immediate_costs_to_government_of_losing_a_home" TargetMode="External"/><Relationship Id="rId49" Type="http://schemas.openxmlformats.org/officeDocument/2006/relationships/hyperlink" Target="https://stat-xplore.dwp.gov.uk/webapi/jsf/login.xhtml" TargetMode="External"/><Relationship Id="rId57" Type="http://schemas.openxmlformats.org/officeDocument/2006/relationships/hyperlink" Target="https://www.ons.gov.uk/peoplepopulationandcommunity/housing/datasets/privaterentalmarketsummarystatisticsinengland" TargetMode="External"/><Relationship Id="rId10" Type="http://schemas.openxmlformats.org/officeDocument/2006/relationships/hyperlink" Target="https://england.shelter.org.uk/professional_resources/policy_and_research/policy_library/briefing_immediate_costs_to_government_of_losing_a_home" TargetMode="External"/><Relationship Id="rId31" Type="http://schemas.openxmlformats.org/officeDocument/2006/relationships/hyperlink" Target="https://england.shelter.org.uk/professional_resources/policy_and_research/policy_library/briefing_immediate_costs_to_government_of_losing_a_home" TargetMode="External"/><Relationship Id="rId44" Type="http://schemas.openxmlformats.org/officeDocument/2006/relationships/hyperlink" Target="https://stat-xplore.dwp.gov.uk/webapi/jsf/login.xhtml" TargetMode="External"/><Relationship Id="rId52" Type="http://schemas.openxmlformats.org/officeDocument/2006/relationships/hyperlink" Target="https://www.ons.gov.uk/peoplepopulationandcommunity/housing/datasets/privaterentalmarketsummarystatisticsinengland" TargetMode="External"/><Relationship Id="rId60" Type="http://schemas.openxmlformats.org/officeDocument/2006/relationships/hyperlink" Target="https://assets.publishing.service.gov.uk/government/uploads/system/uploads/attachment_data/file/1028721/LARP_briefing_note__FINAL__V1.0.pdf" TargetMode="External"/><Relationship Id="rId65" Type="http://schemas.openxmlformats.org/officeDocument/2006/relationships/hyperlink" Target="https://assets.publishing.service.gov.uk/government/uploads/system/uploads/attachment_data/file/1026885/PRP_statistic_2020-21_RENTS_briefing_notes_v1.0__FINAL_.pdf" TargetMode="External"/><Relationship Id="rId73" Type="http://schemas.openxmlformats.org/officeDocument/2006/relationships/hyperlink" Target="https://assets.publishing.service.gov.uk/government/uploads/system/uploads/attachment_data/file/1026885/PRP_statistic_2020-21_RENTS_briefing_notes_v1.0__FINAL_.pdf" TargetMode="External"/><Relationship Id="rId4" Type="http://schemas.openxmlformats.org/officeDocument/2006/relationships/hyperlink" Target="https://england.shelter.org.uk/professional_resources/policy_and_research/policy_library/briefing_immediate_costs_to_government_of_losing_a_home" TargetMode="External"/><Relationship Id="rId9" Type="http://schemas.openxmlformats.org/officeDocument/2006/relationships/hyperlink" Target="https://england.shelter.org.uk/professional_resources/policy_and_research/policy_library/briefing_immediate_costs_to_government_of_losing_a_home" TargetMode="External"/><Relationship Id="rId13" Type="http://schemas.openxmlformats.org/officeDocument/2006/relationships/hyperlink" Target="https://stat-xplore.dwp.gov.uk/webapi/jsf/login.xhtml" TargetMode="External"/><Relationship Id="rId18" Type="http://schemas.openxmlformats.org/officeDocument/2006/relationships/hyperlink" Target="https://www.gov.uk/government/statistical-data-sets/live-tables-on-rents-lettings-and-tenancies" TargetMode="External"/><Relationship Id="rId39" Type="http://schemas.openxmlformats.org/officeDocument/2006/relationships/hyperlink" Target="https://www.york.ac.uk/media/chp/documents/2015/CostsofHomelessness.pdf" TargetMode="External"/><Relationship Id="rId34" Type="http://schemas.openxmlformats.org/officeDocument/2006/relationships/hyperlink" Target="https://england.shelter.org.uk/professional_resources/policy_and_research/policy_library/briefing_immediate_costs_to_government_of_losing_a_home" TargetMode="External"/><Relationship Id="rId50" Type="http://schemas.openxmlformats.org/officeDocument/2006/relationships/hyperlink" Target="https://assets.publishing.service.gov.uk/government/uploads/system/uploads/attachment_data/file/1028721/LARP_briefing_note__FINAL__V1.0.pdf" TargetMode="External"/><Relationship Id="rId55" Type="http://schemas.openxmlformats.org/officeDocument/2006/relationships/hyperlink" Target="https://www.ons.gov.uk/peoplepopulationandcommunity/housing/datasets/privaterentalmarketsummarystatisticsinengland" TargetMode="External"/><Relationship Id="rId76" Type="http://schemas.openxmlformats.org/officeDocument/2006/relationships/printerSettings" Target="../printerSettings/printerSettings8.bin"/><Relationship Id="rId7" Type="http://schemas.openxmlformats.org/officeDocument/2006/relationships/hyperlink" Target="http://england.shelter.org.uk/__data/assets/pdf_file/0003/415596/Immediate_costs_to_government_of_losing_a_home.pdf" TargetMode="External"/><Relationship Id="rId71" Type="http://schemas.openxmlformats.org/officeDocument/2006/relationships/hyperlink" Target="https://assets.publishing.service.gov.uk/government/uploads/system/uploads/attachment_data/file/1026885/PRP_statistic_2020-21_RENTS_briefing_notes_v1.0__FINAL_.pdf"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www.england.nhs.uk/wp-content/uploads/2022/07/2_National_schedule_of_NHS_costs_FY20-21.xlsx" TargetMode="External"/><Relationship Id="rId21" Type="http://schemas.openxmlformats.org/officeDocument/2006/relationships/hyperlink" Target="http://www.kingsfund.org.uk/publications/paying_the_price.html" TargetMode="External"/><Relationship Id="rId42" Type="http://schemas.openxmlformats.org/officeDocument/2006/relationships/hyperlink" Target="http://www.pssru.ac.uk/pub/uc/uc2015/full.pdf" TargetMode="External"/><Relationship Id="rId63" Type="http://schemas.openxmlformats.org/officeDocument/2006/relationships/hyperlink" Target="https://www.pssru.ac.uk/project-pages/unit-costs/unit-costs-2017/" TargetMode="External"/><Relationship Id="rId84" Type="http://schemas.openxmlformats.org/officeDocument/2006/relationships/hyperlink" Target="https://kar.kent.ac.uk/84818/" TargetMode="External"/><Relationship Id="rId138" Type="http://schemas.openxmlformats.org/officeDocument/2006/relationships/hyperlink" Target="http://www.kingsfund.org.uk/publications/paying_the_price.html" TargetMode="External"/><Relationship Id="rId159" Type="http://schemas.openxmlformats.org/officeDocument/2006/relationships/hyperlink" Target="https://www.england.nhs.uk/wp-content/uploads/2022/07/2_National_schedule_of_NHS_costs_FY20-21.xlsx" TargetMode="External"/><Relationship Id="rId170" Type="http://schemas.openxmlformats.org/officeDocument/2006/relationships/hyperlink" Target="https://www.mentalhealth.org.uk/sites/default/files/2022-06/MHF-Investing-in-Prevention-Full-Report.pdf" TargetMode="External"/><Relationship Id="rId191" Type="http://schemas.openxmlformats.org/officeDocument/2006/relationships/hyperlink" Target="https://kar.kent.ac.uk/92342/" TargetMode="External"/><Relationship Id="rId205" Type="http://schemas.openxmlformats.org/officeDocument/2006/relationships/hyperlink" Target="https://www.hse.gov.uk/economics/eauappraisal.htm" TargetMode="External"/><Relationship Id="rId107" Type="http://schemas.openxmlformats.org/officeDocument/2006/relationships/hyperlink" Target="https://www.england.nhs.uk/wp-content/uploads/2022/07/2_National_schedule_of_NHS_costs_FY20-21.xlsx" TargetMode="External"/><Relationship Id="rId11" Type="http://schemas.openxmlformats.org/officeDocument/2006/relationships/hyperlink" Target="http://www.kingsfund.org.uk/publications/paying_the_price.html" TargetMode="External"/><Relationship Id="rId32" Type="http://schemas.openxmlformats.org/officeDocument/2006/relationships/hyperlink" Target="http://www.kingsfund.org.uk/publications/paying_the_price.html" TargetMode="External"/><Relationship Id="rId53" Type="http://schemas.openxmlformats.org/officeDocument/2006/relationships/hyperlink" Target="https://www.york.ac.uk/media/che/documents/papers/researchpapers/CHERP96_multimorbidity_utilisation_costs_health_social%20care.pdf" TargetMode="External"/><Relationship Id="rId74" Type="http://schemas.openxmlformats.org/officeDocument/2006/relationships/hyperlink" Target="https://kar.kent.ac.uk/92342/" TargetMode="External"/><Relationship Id="rId128" Type="http://schemas.openxmlformats.org/officeDocument/2006/relationships/hyperlink" Target="https://webarchive.nationalarchives.gov.uk/20170807160642/http:/www.nta.nhs.uk/uploads/vfm2012.pdf" TargetMode="External"/><Relationship Id="rId149" Type="http://schemas.openxmlformats.org/officeDocument/2006/relationships/hyperlink" Target="https://assets.publishing.service.gov.uk/government/uploads/system/uploads/attachment_data/file/1005388/Wellbeing_guidance_for_appraisal_-_supplementary_Green_Book_guidance.pdf" TargetMode="External"/><Relationship Id="rId5" Type="http://schemas.openxmlformats.org/officeDocument/2006/relationships/hyperlink" Target="https://webarchive.nationalarchives.gov.uk/20170807160642/http:/www.nta.nhs.uk/uploads/vfm2012.pdf" TargetMode="External"/><Relationship Id="rId95" Type="http://schemas.openxmlformats.org/officeDocument/2006/relationships/hyperlink" Target="https://kar.kent.ac.uk/92342/" TargetMode="External"/><Relationship Id="rId160" Type="http://schemas.openxmlformats.org/officeDocument/2006/relationships/hyperlink" Target="https://www.england.nhs.uk/wp-content/uploads/2022/07/2_National_schedule_of_NHS_costs_FY20-21.xlsx" TargetMode="External"/><Relationship Id="rId181" Type="http://schemas.openxmlformats.org/officeDocument/2006/relationships/hyperlink" Target="https://kar.kent.ac.uk/84818/" TargetMode="External"/><Relationship Id="rId22" Type="http://schemas.openxmlformats.org/officeDocument/2006/relationships/hyperlink" Target="http://www.kingsfund.org.uk/publications/paying_the_price.html" TargetMode="External"/><Relationship Id="rId43" Type="http://schemas.openxmlformats.org/officeDocument/2006/relationships/hyperlink" Target="http://www.pssru.ac.uk/project-pages/unit-costs/2013/index.php?file=full" TargetMode="External"/><Relationship Id="rId64" Type="http://schemas.openxmlformats.org/officeDocument/2006/relationships/hyperlink" Target="https://www.pssru.ac.uk/project-pages/unit-costs/unit-costs-2017/" TargetMode="External"/><Relationship Id="rId118" Type="http://schemas.openxmlformats.org/officeDocument/2006/relationships/hyperlink" Target="https://www.england.nhs.uk/wp-content/uploads/2022/07/2_National_schedule_of_NHS_costs_FY20-21.xlsx" TargetMode="External"/><Relationship Id="rId139" Type="http://schemas.openxmlformats.org/officeDocument/2006/relationships/hyperlink" Target="http://www.kingsfund.org.uk/publications/paying_the_price.html" TargetMode="External"/><Relationship Id="rId85" Type="http://schemas.openxmlformats.org/officeDocument/2006/relationships/hyperlink" Target="https://kar.kent.ac.uk/92342/" TargetMode="External"/><Relationship Id="rId150" Type="http://schemas.openxmlformats.org/officeDocument/2006/relationships/hyperlink" Target="https://www.england.nhs.uk/wp-content/uploads/2021/06/National-schedule-of-NHS-costs-FY1920-v15.xlsx" TargetMode="External"/><Relationship Id="rId171" Type="http://schemas.openxmlformats.org/officeDocument/2006/relationships/hyperlink" Target="https://kar.kent.ac.uk/92342/" TargetMode="External"/><Relationship Id="rId192" Type="http://schemas.openxmlformats.org/officeDocument/2006/relationships/hyperlink" Target="https://www.england.nhs.uk/wp-content/uploads/2022/07/2_National_schedule_of_NHS_costs_FY20-21.xlsx" TargetMode="External"/><Relationship Id="rId206" Type="http://schemas.openxmlformats.org/officeDocument/2006/relationships/hyperlink" Target="https://www.hse.gov.uk/economics/eauappraisal.htm" TargetMode="External"/><Relationship Id="rId12" Type="http://schemas.openxmlformats.org/officeDocument/2006/relationships/hyperlink" Target="http://www.kingsfund.org.uk/publications/paying_the_price.html" TargetMode="External"/><Relationship Id="rId33" Type="http://schemas.openxmlformats.org/officeDocument/2006/relationships/hyperlink" Target="http://www.kingsfund.org.uk/publications/paying_the_price.html" TargetMode="External"/><Relationship Id="rId108" Type="http://schemas.openxmlformats.org/officeDocument/2006/relationships/hyperlink" Target="https://www.england.nhs.uk/wp-content/uploads/2022/07/2_National_schedule_of_NHS_costs_FY20-21.xlsx" TargetMode="External"/><Relationship Id="rId129" Type="http://schemas.openxmlformats.org/officeDocument/2006/relationships/hyperlink" Target="https://webarchive.nationalarchives.gov.uk/20170807160642/http:/www.nta.nhs.uk/uploads/vfm2012.pdf" TargetMode="External"/><Relationship Id="rId54" Type="http://schemas.openxmlformats.org/officeDocument/2006/relationships/hyperlink" Target="http://www.ncbi.nlm.nih.gov/pmc/articles/PMC4549338/" TargetMode="External"/><Relationship Id="rId75" Type="http://schemas.openxmlformats.org/officeDocument/2006/relationships/hyperlink" Target="https://kar.kent.ac.uk/84818/" TargetMode="External"/><Relationship Id="rId96" Type="http://schemas.openxmlformats.org/officeDocument/2006/relationships/hyperlink" Target="https://www.england.nhs.uk/wp-content/uploads/2022/07/2_National_schedule_of_NHS_costs_FY20-21.xlsx" TargetMode="External"/><Relationship Id="rId140" Type="http://schemas.openxmlformats.org/officeDocument/2006/relationships/hyperlink" Target="http://www.kingsfund.org.uk/publications/paying_the_price.html" TargetMode="External"/><Relationship Id="rId161" Type="http://schemas.openxmlformats.org/officeDocument/2006/relationships/hyperlink" Target="https://www.mentalhealth.org.uk/sites/default/files/2022-06/MHF-Investing-in-Prevention-Full-Report.pdf" TargetMode="External"/><Relationship Id="rId182" Type="http://schemas.openxmlformats.org/officeDocument/2006/relationships/hyperlink" Target="https://kar.kent.ac.uk/92342/" TargetMode="External"/><Relationship Id="rId6" Type="http://schemas.openxmlformats.org/officeDocument/2006/relationships/hyperlink" Target="https://webarchive.nationalarchives.gov.uk/20170807160642/http:/www.nta.nhs.uk/uploads/vfm2012.pdf" TargetMode="External"/><Relationship Id="rId23" Type="http://schemas.openxmlformats.org/officeDocument/2006/relationships/hyperlink" Target="http://www.kingsfund.org.uk/publications/paying_the_price.html" TargetMode="External"/><Relationship Id="rId119" Type="http://schemas.openxmlformats.org/officeDocument/2006/relationships/hyperlink" Target="https://www.england.nhs.uk/wp-content/uploads/2022/07/2_National_schedule_of_NHS_costs_FY20-21.xlsx" TargetMode="External"/><Relationship Id="rId44" Type="http://schemas.openxmlformats.org/officeDocument/2006/relationships/hyperlink" Target="http://www.pssru.ac.uk/project-pages/unit-costs/2014/index.php?file=full" TargetMode="External"/><Relationship Id="rId65" Type="http://schemas.openxmlformats.org/officeDocument/2006/relationships/hyperlink" Target="https://kar.kent.ac.uk/65559/40/65559_rep_UCR-2017-v13finalKAR.pdf" TargetMode="External"/><Relationship Id="rId86" Type="http://schemas.openxmlformats.org/officeDocument/2006/relationships/hyperlink" Target="https://kar.kent.ac.uk/92342/" TargetMode="External"/><Relationship Id="rId130" Type="http://schemas.openxmlformats.org/officeDocument/2006/relationships/hyperlink" Target="https://www.england.nhs.uk/wp-content/uploads/2022/07/2_National_schedule_of_NHS_costs_FY20-21.xlsx" TargetMode="External"/><Relationship Id="rId151" Type="http://schemas.openxmlformats.org/officeDocument/2006/relationships/hyperlink" Target="https://www.england.nhs.uk/wp-content/uploads/2021/06/National-schedule-of-NHS-costs-FY1920-v15.xlsx" TargetMode="External"/><Relationship Id="rId172" Type="http://schemas.openxmlformats.org/officeDocument/2006/relationships/hyperlink" Target="https://kar.kent.ac.uk/92342/" TargetMode="External"/><Relationship Id="rId193" Type="http://schemas.openxmlformats.org/officeDocument/2006/relationships/hyperlink" Target="https://www.england.nhs.uk/wp-content/uploads/2022/07/2_National_schedule_of_NHS_costs_FY20-21.xlsx" TargetMode="External"/><Relationship Id="rId207" Type="http://schemas.openxmlformats.org/officeDocument/2006/relationships/hyperlink" Target="https://www.hse.gov.uk/economics/eauappraisal.htm" TargetMode="External"/><Relationship Id="rId13" Type="http://schemas.openxmlformats.org/officeDocument/2006/relationships/hyperlink" Target="http://www.kingsfund.org.uk/publications/paying_the_price.html" TargetMode="External"/><Relationship Id="rId109" Type="http://schemas.openxmlformats.org/officeDocument/2006/relationships/hyperlink" Target="https://assets.publishing.service.gov.uk/government/uploads/system/uploads/attachment_data/file/679856/A_return_on_investment_tool_for_falls_prevention_programmes.pdf" TargetMode="External"/><Relationship Id="rId34" Type="http://schemas.openxmlformats.org/officeDocument/2006/relationships/hyperlink" Target="http://www.kingsfund.org.uk/publications/paying_the_price.html" TargetMode="External"/><Relationship Id="rId55" Type="http://schemas.openxmlformats.org/officeDocument/2006/relationships/hyperlink" Target="http://www.ncbi.nlm.nih.gov/pmc/articles/PMC4549338/" TargetMode="External"/><Relationship Id="rId76" Type="http://schemas.openxmlformats.org/officeDocument/2006/relationships/hyperlink" Target="https://onlinelibrary.wiley.com/doi/full/10.1111/add.14183" TargetMode="External"/><Relationship Id="rId97" Type="http://schemas.openxmlformats.org/officeDocument/2006/relationships/hyperlink" Target="https://www.england.nhs.uk/wp-content/uploads/2022/07/2_National_schedule_of_NHS_costs_FY20-21.xlsx" TargetMode="External"/><Relationship Id="rId120" Type="http://schemas.openxmlformats.org/officeDocument/2006/relationships/hyperlink" Target="https://www.england.nhs.uk/wp-content/uploads/2022/07/2_National_schedule_of_NHS_costs_FY20-21.xlsx" TargetMode="External"/><Relationship Id="rId141" Type="http://schemas.openxmlformats.org/officeDocument/2006/relationships/hyperlink" Target="http://www.kingsfund.org.uk/publications/paying_the_price.html" TargetMode="External"/><Relationship Id="rId7" Type="http://schemas.openxmlformats.org/officeDocument/2006/relationships/hyperlink" Target="https://findings.org.uk/PHP/dl.php?f=Jones_A_4.txt" TargetMode="External"/><Relationship Id="rId162" Type="http://schemas.openxmlformats.org/officeDocument/2006/relationships/hyperlink" Target="https://www.mentalhealth.org.uk/sites/default/files/2022-06/MHF-Investing-in-Prevention-Full-Report.pdf" TargetMode="External"/><Relationship Id="rId183" Type="http://schemas.openxmlformats.org/officeDocument/2006/relationships/hyperlink" Target="https://kar.kent.ac.uk/92342/" TargetMode="External"/><Relationship Id="rId24" Type="http://schemas.openxmlformats.org/officeDocument/2006/relationships/hyperlink" Target="http://www.kingsfund.org.uk/publications/paying_the_price.html" TargetMode="External"/><Relationship Id="rId45" Type="http://schemas.openxmlformats.org/officeDocument/2006/relationships/hyperlink" Target="https://www.housinglin.org.uk/_assets/Resources/Housing/Support_materials/Going_home_alone.pdf" TargetMode="External"/><Relationship Id="rId66" Type="http://schemas.openxmlformats.org/officeDocument/2006/relationships/hyperlink" Target="https://kar.kent.ac.uk/65559/40/65559_rep_UCR-2017-v13finalKAR.pdf" TargetMode="External"/><Relationship Id="rId87" Type="http://schemas.openxmlformats.org/officeDocument/2006/relationships/hyperlink" Target="https://kar.kent.ac.uk/92342/" TargetMode="External"/><Relationship Id="rId110" Type="http://schemas.openxmlformats.org/officeDocument/2006/relationships/hyperlink" Target="https://www.england.nhs.uk/wp-content/uploads/2022/07/2_National_schedule_of_NHS_costs_FY20-21.xlsx" TargetMode="External"/><Relationship Id="rId131" Type="http://schemas.openxmlformats.org/officeDocument/2006/relationships/hyperlink" Target="https://www.england.nhs.uk/wp-content/uploads/2022/07/2_National_schedule_of_NHS_costs_FY20-21.xlsx" TargetMode="External"/><Relationship Id="rId61" Type="http://schemas.openxmlformats.org/officeDocument/2006/relationships/hyperlink" Target="https://kar.kent.ac.uk/65559/40/65559_rep_UCR-2017-v13finalKAR.pdf" TargetMode="External"/><Relationship Id="rId82" Type="http://schemas.openxmlformats.org/officeDocument/2006/relationships/hyperlink" Target="https://kar.kent.ac.uk/92342/" TargetMode="External"/><Relationship Id="rId152" Type="http://schemas.openxmlformats.org/officeDocument/2006/relationships/hyperlink" Target="https://kar.kent.ac.uk/92342/" TargetMode="External"/><Relationship Id="rId173" Type="http://schemas.openxmlformats.org/officeDocument/2006/relationships/hyperlink" Target="https://kar.kent.ac.uk/92342/" TargetMode="External"/><Relationship Id="rId194" Type="http://schemas.openxmlformats.org/officeDocument/2006/relationships/hyperlink" Target="https://www.england.nhs.uk/wp-content/uploads/2022/07/2_National_schedule_of_NHS_costs_FY20-21.xlsx" TargetMode="External"/><Relationship Id="rId199" Type="http://schemas.openxmlformats.org/officeDocument/2006/relationships/hyperlink" Target="https://www.england.nhs.uk/wp-content/uploads/2022/07/2_National_schedule_of_NHS_costs_FY20-21.xlsx" TargetMode="External"/><Relationship Id="rId203" Type="http://schemas.openxmlformats.org/officeDocument/2006/relationships/hyperlink" Target="https://www.hse.gov.uk/economics/eauappraisal.htm" TargetMode="External"/><Relationship Id="rId208" Type="http://schemas.openxmlformats.org/officeDocument/2006/relationships/hyperlink" Target="https://www.hse.gov.uk/economics/eauappraisal.htm" TargetMode="External"/><Relationship Id="rId19" Type="http://schemas.openxmlformats.org/officeDocument/2006/relationships/hyperlink" Target="http://www.kingsfund.org.uk/publications/paying_the_price.html" TargetMode="External"/><Relationship Id="rId14" Type="http://schemas.openxmlformats.org/officeDocument/2006/relationships/hyperlink" Target="http://www.kingsfund.org.uk/publications/paying_the_price.html" TargetMode="External"/><Relationship Id="rId30" Type="http://schemas.openxmlformats.org/officeDocument/2006/relationships/hyperlink" Target="http://www.kingsfund.org.uk/publications/paying_the_price.html" TargetMode="External"/><Relationship Id="rId35" Type="http://schemas.openxmlformats.org/officeDocument/2006/relationships/hyperlink" Target="http://www.kingsfund.org.uk/publications/paying_the_price.html" TargetMode="External"/><Relationship Id="rId56" Type="http://schemas.openxmlformats.org/officeDocument/2006/relationships/hyperlink" Target="https://www.phrc.online/assets/uploads/files/PHRC_A3_06_Final_Report.pdf" TargetMode="External"/><Relationship Id="rId77" Type="http://schemas.openxmlformats.org/officeDocument/2006/relationships/hyperlink" Target="https://kar.kent.ac.uk/92342/" TargetMode="External"/><Relationship Id="rId100" Type="http://schemas.openxmlformats.org/officeDocument/2006/relationships/hyperlink" Target="https://www.england.nhs.uk/wp-content/uploads/2021/06/National-schedule-of-NHS-costs-FY1920-v15.xlsx" TargetMode="External"/><Relationship Id="rId105" Type="http://schemas.openxmlformats.org/officeDocument/2006/relationships/hyperlink" Target="https://www.england.nhs.uk/wp-content/uploads/2022/07/2_National_schedule_of_NHS_costs_FY20-21.xlsx" TargetMode="External"/><Relationship Id="rId126" Type="http://schemas.openxmlformats.org/officeDocument/2006/relationships/hyperlink" Target="https://www.england.nhs.uk/wp-content/uploads/2022/07/2_National_schedule_of_NHS_costs_FY20-21.xlsx" TargetMode="External"/><Relationship Id="rId147" Type="http://schemas.openxmlformats.org/officeDocument/2006/relationships/hyperlink" Target="https://www.nice.org.uk/guidance/cg115/evidence/full-guideline-pdf-136423405" TargetMode="External"/><Relationship Id="rId168" Type="http://schemas.openxmlformats.org/officeDocument/2006/relationships/hyperlink" Target="https://www.mentalhealth.org.uk/sites/default/files/2022-06/MHF-Investing-in-Prevention-Full-Report.pdf" TargetMode="External"/><Relationship Id="rId8" Type="http://schemas.openxmlformats.org/officeDocument/2006/relationships/hyperlink" Target="http://jech.bmj.com/content/57/9/740.full.pdf+html" TargetMode="External"/><Relationship Id="rId51" Type="http://schemas.openxmlformats.org/officeDocument/2006/relationships/hyperlink" Target="https://www.york.ac.uk/media/che/documents/papers/researchpapers/CHERP96_multimorbidity_utilisation_costs_health_social%20care.pdf" TargetMode="External"/><Relationship Id="rId72" Type="http://schemas.openxmlformats.org/officeDocument/2006/relationships/hyperlink" Target="https://kar.kent.ac.uk/92342/" TargetMode="External"/><Relationship Id="rId93" Type="http://schemas.openxmlformats.org/officeDocument/2006/relationships/hyperlink" Target="https://kar.kent.ac.uk/92342/" TargetMode="External"/><Relationship Id="rId98" Type="http://schemas.openxmlformats.org/officeDocument/2006/relationships/hyperlink" Target="https://www.england.nhs.uk/wp-content/uploads/2022/07/2_National_schedule_of_NHS_costs_FY20-21.xlsx" TargetMode="External"/><Relationship Id="rId121" Type="http://schemas.openxmlformats.org/officeDocument/2006/relationships/hyperlink" Target="https://www.england.nhs.uk/wp-content/uploads/2022/07/2_National_schedule_of_NHS_costs_FY20-21.xlsx" TargetMode="External"/><Relationship Id="rId142" Type="http://schemas.openxmlformats.org/officeDocument/2006/relationships/hyperlink" Target="http://www.kingsfund.org.uk/publications/paying_the_price.html" TargetMode="External"/><Relationship Id="rId163" Type="http://schemas.openxmlformats.org/officeDocument/2006/relationships/hyperlink" Target="https://www.mentalhealth.org.uk/sites/default/files/2022-06/MHF-Investing-in-Prevention-Full-Report.pdf" TargetMode="External"/><Relationship Id="rId184" Type="http://schemas.openxmlformats.org/officeDocument/2006/relationships/hyperlink" Target="https://kar.kent.ac.uk/92342/" TargetMode="External"/><Relationship Id="rId189" Type="http://schemas.openxmlformats.org/officeDocument/2006/relationships/hyperlink" Target="https://kar.kent.ac.uk/92342/" TargetMode="External"/><Relationship Id="rId3" Type="http://schemas.openxmlformats.org/officeDocument/2006/relationships/hyperlink" Target="https://webarchive.nationalarchives.gov.uk/20170807160642/http:/www.nta.nhs.uk/uploads/vfm2012.pdf" TargetMode="External"/><Relationship Id="rId25" Type="http://schemas.openxmlformats.org/officeDocument/2006/relationships/hyperlink" Target="http://www.kingsfund.org.uk/publications/paying_the_price.html" TargetMode="External"/><Relationship Id="rId46" Type="http://schemas.openxmlformats.org/officeDocument/2006/relationships/hyperlink" Target="http://everyonesbusiness.org.uk/wp-content/uploads/2014/12/Embargoed-20th-Oct-Final-Economic-Report-costs-of-perinatal-mental-health-problems.pdf" TargetMode="External"/><Relationship Id="rId67" Type="http://schemas.openxmlformats.org/officeDocument/2006/relationships/hyperlink" Target="https://kar.kent.ac.uk/65559/40/65559_rep_UCR-2017-v13finalKAR.pdf" TargetMode="External"/><Relationship Id="rId116" Type="http://schemas.openxmlformats.org/officeDocument/2006/relationships/hyperlink" Target="https://www.england.nhs.uk/wp-content/uploads/2022/07/2_National_schedule_of_NHS_costs_FY20-21.xlsx" TargetMode="External"/><Relationship Id="rId137" Type="http://schemas.openxmlformats.org/officeDocument/2006/relationships/hyperlink" Target="http://www.kingsfund.org.uk/publications/paying_the_price.html" TargetMode="External"/><Relationship Id="rId158" Type="http://schemas.openxmlformats.org/officeDocument/2006/relationships/hyperlink" Target="https://www.england.nhs.uk/wp-content/uploads/2022/07/2_National_schedule_of_NHS_costs_FY20-21.xlsx" TargetMode="External"/><Relationship Id="rId20" Type="http://schemas.openxmlformats.org/officeDocument/2006/relationships/hyperlink" Target="http://www.kingsfund.org.uk/publications/paying_the_price.html" TargetMode="External"/><Relationship Id="rId41" Type="http://schemas.openxmlformats.org/officeDocument/2006/relationships/hyperlink" Target="http://www.pssru.ac.uk/project-pages/unit-costs/2013/index.php?file=full" TargetMode="External"/><Relationship Id="rId62" Type="http://schemas.openxmlformats.org/officeDocument/2006/relationships/hyperlink" Target="https://kar.kent.ac.uk/65559/40/65559_rep_UCR-2017-v13finalKAR.pdf" TargetMode="External"/><Relationship Id="rId83" Type="http://schemas.openxmlformats.org/officeDocument/2006/relationships/hyperlink" Target="https://kar.kent.ac.uk/92342/" TargetMode="External"/><Relationship Id="rId88" Type="http://schemas.openxmlformats.org/officeDocument/2006/relationships/hyperlink" Target="https://kar.kent.ac.uk/92342/" TargetMode="External"/><Relationship Id="rId111" Type="http://schemas.openxmlformats.org/officeDocument/2006/relationships/hyperlink" Target="https://www.england.nhs.uk/wp-content/uploads/2022/07/2_National_schedule_of_NHS_costs_FY20-21.xlsx" TargetMode="External"/><Relationship Id="rId132" Type="http://schemas.openxmlformats.org/officeDocument/2006/relationships/hyperlink" Target="https://www.england.nhs.uk/wp-content/uploads/2022/07/2_National_schedule_of_NHS_costs_FY20-21.xlsx" TargetMode="External"/><Relationship Id="rId153" Type="http://schemas.openxmlformats.org/officeDocument/2006/relationships/hyperlink" Target="https://www.england.nhs.uk/wp-content/uploads/2022/07/2_National_schedule_of_NHS_costs_FY20-21.xlsx" TargetMode="External"/><Relationship Id="rId174" Type="http://schemas.openxmlformats.org/officeDocument/2006/relationships/hyperlink" Target="https://kar.kent.ac.uk/92342/" TargetMode="External"/><Relationship Id="rId179" Type="http://schemas.openxmlformats.org/officeDocument/2006/relationships/hyperlink" Target="https://kar.kent.ac.uk/84818/" TargetMode="External"/><Relationship Id="rId195" Type="http://schemas.openxmlformats.org/officeDocument/2006/relationships/hyperlink" Target="https://www.england.nhs.uk/wp-content/uploads/2022/07/2_National_schedule_of_NHS_costs_FY20-21.xlsx" TargetMode="External"/><Relationship Id="rId209" Type="http://schemas.openxmlformats.org/officeDocument/2006/relationships/hyperlink" Target="https://www.housinglin.org.uk/_assets/Resources/Housing/Support_materials/Going_home_alone.pdf" TargetMode="External"/><Relationship Id="rId190" Type="http://schemas.openxmlformats.org/officeDocument/2006/relationships/hyperlink" Target="https://kar.kent.ac.uk/92342/" TargetMode="External"/><Relationship Id="rId204" Type="http://schemas.openxmlformats.org/officeDocument/2006/relationships/hyperlink" Target="https://www.hse.gov.uk/economics/eauappraisal.htm" TargetMode="External"/><Relationship Id="rId15" Type="http://schemas.openxmlformats.org/officeDocument/2006/relationships/hyperlink" Target="http://www.kingsfund.org.uk/publications/paying_the_price.html" TargetMode="External"/><Relationship Id="rId36" Type="http://schemas.openxmlformats.org/officeDocument/2006/relationships/hyperlink" Target="http://www.pssru.ac.uk/project-pages/unit-costs/2013/index.php?file=full" TargetMode="External"/><Relationship Id="rId57" Type="http://schemas.openxmlformats.org/officeDocument/2006/relationships/hyperlink" Target="https://www.phrc.online/assets/uploads/files/PHRC_A3_06_Final_Report.pdf" TargetMode="External"/><Relationship Id="rId106" Type="http://schemas.openxmlformats.org/officeDocument/2006/relationships/hyperlink" Target="https://www.england.nhs.uk/wp-content/uploads/2022/07/2_National_schedule_of_NHS_costs_FY20-21.xlsx" TargetMode="External"/><Relationship Id="rId127" Type="http://schemas.openxmlformats.org/officeDocument/2006/relationships/hyperlink" Target="https://www.england.nhs.uk/wp-content/uploads/2021/06/2_National_schedule_of_NHS_costs_FY19_20_V2.xlsx" TargetMode="External"/><Relationship Id="rId10" Type="http://schemas.openxmlformats.org/officeDocument/2006/relationships/hyperlink" Target="http://www.kingsfund.org.uk/publications/paying_the_price.html" TargetMode="External"/><Relationship Id="rId31" Type="http://schemas.openxmlformats.org/officeDocument/2006/relationships/hyperlink" Target="http://www.kingsfund.org.uk/publications/paying_the_price.html" TargetMode="External"/><Relationship Id="rId52" Type="http://schemas.openxmlformats.org/officeDocument/2006/relationships/hyperlink" Target="https://www.york.ac.uk/media/che/documents/papers/researchpapers/CHERP96_multimorbidity_utilisation_costs_health_social%20care.pdf" TargetMode="External"/><Relationship Id="rId73" Type="http://schemas.openxmlformats.org/officeDocument/2006/relationships/hyperlink" Target="https://kar.kent.ac.uk/84818/" TargetMode="External"/><Relationship Id="rId78" Type="http://schemas.openxmlformats.org/officeDocument/2006/relationships/hyperlink" Target="https://kar.kent.ac.uk/79286/1/UCFinalFeb20.pdf" TargetMode="External"/><Relationship Id="rId94" Type="http://schemas.openxmlformats.org/officeDocument/2006/relationships/hyperlink" Target="https://kar.kent.ac.uk/92342/" TargetMode="External"/><Relationship Id="rId99" Type="http://schemas.openxmlformats.org/officeDocument/2006/relationships/hyperlink" Target="https://www.england.nhs.uk/wp-content/uploads/2022/07/2_National_schedule_of_NHS_costs_FY20-21.xlsx" TargetMode="External"/><Relationship Id="rId101" Type="http://schemas.openxmlformats.org/officeDocument/2006/relationships/hyperlink" Target="https://www.england.nhs.uk/wp-content/uploads/2022/07/2_National_schedule_of_NHS_costs_FY20-21.xlsx" TargetMode="External"/><Relationship Id="rId122" Type="http://schemas.openxmlformats.org/officeDocument/2006/relationships/hyperlink" Target="https://www.england.nhs.uk/wp-content/uploads/2022/07/2_National_schedule_of_NHS_costs_FY20-21.xlsx" TargetMode="External"/><Relationship Id="rId143" Type="http://schemas.openxmlformats.org/officeDocument/2006/relationships/hyperlink" Target="http://www.kingsfund.org.uk/publications/paying_the_price.html" TargetMode="External"/><Relationship Id="rId148" Type="http://schemas.openxmlformats.org/officeDocument/2006/relationships/hyperlink" Target="http://www.pssru.ac.uk/archive/pdf/uc/uc2009/uc2009.pdf" TargetMode="External"/><Relationship Id="rId164" Type="http://schemas.openxmlformats.org/officeDocument/2006/relationships/hyperlink" Target="https://www.mentalhealth.org.uk/sites/default/files/2022-06/MHF-Investing-in-Prevention-Full-Report.pdf" TargetMode="External"/><Relationship Id="rId169" Type="http://schemas.openxmlformats.org/officeDocument/2006/relationships/hyperlink" Target="https://www.mentalhealth.org.uk/sites/default/files/2022-06/MHF-Investing-in-Prevention-Full-Report.pdf" TargetMode="External"/><Relationship Id="rId185" Type="http://schemas.openxmlformats.org/officeDocument/2006/relationships/hyperlink" Target="https://kar.kent.ac.uk/92342/" TargetMode="External"/><Relationship Id="rId4" Type="http://schemas.openxmlformats.org/officeDocument/2006/relationships/hyperlink" Target="https://webarchive.nationalarchives.gov.uk/20170807160642/http:/www.nta.nhs.uk/uploads/vfm2012.pdf" TargetMode="External"/><Relationship Id="rId9" Type="http://schemas.openxmlformats.org/officeDocument/2006/relationships/hyperlink" Target="http://webarchive.nationalarchives.gov.uk/20130107105354/http:/www.dh.gov.uk/prod_consum_dh/groups/dh_digitalassets/documents/digitalasset/dh_106379.pdf" TargetMode="External"/><Relationship Id="rId180" Type="http://schemas.openxmlformats.org/officeDocument/2006/relationships/hyperlink" Target="https://kar.kent.ac.uk/84818/" TargetMode="External"/><Relationship Id="rId210" Type="http://schemas.openxmlformats.org/officeDocument/2006/relationships/hyperlink" Target="https://www.yumpu.com/en/document/view/52468749/costing-report-national-institute-for-health-and-clinical-excellence/9" TargetMode="External"/><Relationship Id="rId26" Type="http://schemas.openxmlformats.org/officeDocument/2006/relationships/hyperlink" Target="http://www.kingsfund.org.uk/publications/paying_the_price.html" TargetMode="External"/><Relationship Id="rId47" Type="http://schemas.openxmlformats.org/officeDocument/2006/relationships/hyperlink" Target="http://everyonesbusiness.org.uk/wp-content/uploads/2014/12/Embargoed-20th-Oct-Final-Economic-Report-costs-of-perinatal-mental-health-problems.pdf" TargetMode="External"/><Relationship Id="rId68" Type="http://schemas.openxmlformats.org/officeDocument/2006/relationships/hyperlink" Target="https://kar.kent.ac.uk/65559/40/65559_rep_UCR-2017-v13finalKAR.pdf" TargetMode="External"/><Relationship Id="rId89" Type="http://schemas.openxmlformats.org/officeDocument/2006/relationships/hyperlink" Target="https://kar.kent.ac.uk/92342/" TargetMode="External"/><Relationship Id="rId112" Type="http://schemas.openxmlformats.org/officeDocument/2006/relationships/hyperlink" Target="http://jech.bmj.com/content/57/9/740.full.pdf+html" TargetMode="External"/><Relationship Id="rId133" Type="http://schemas.openxmlformats.org/officeDocument/2006/relationships/hyperlink" Target="https://www.england.nhs.uk/wp-content/uploads/2022/07/2_National_schedule_of_NHS_costs_FY20-21.xlsx" TargetMode="External"/><Relationship Id="rId154" Type="http://schemas.openxmlformats.org/officeDocument/2006/relationships/hyperlink" Target="https://www.england.nhs.uk/wp-content/uploads/2022/07/2_National_schedule_of_NHS_costs_FY20-21.xlsx" TargetMode="External"/><Relationship Id="rId175" Type="http://schemas.openxmlformats.org/officeDocument/2006/relationships/hyperlink" Target="https://kar.kent.ac.uk/92342/" TargetMode="External"/><Relationship Id="rId196" Type="http://schemas.openxmlformats.org/officeDocument/2006/relationships/hyperlink" Target="https://www.england.nhs.uk/wp-content/uploads/2022/07/2_National_schedule_of_NHS_costs_FY20-21.xlsx" TargetMode="External"/><Relationship Id="rId200" Type="http://schemas.openxmlformats.org/officeDocument/2006/relationships/hyperlink" Target="https://www.england.nhs.uk/wp-content/uploads/2022/07/2_National_schedule_of_NHS_costs_FY20-21.xlsx" TargetMode="External"/><Relationship Id="rId16" Type="http://schemas.openxmlformats.org/officeDocument/2006/relationships/hyperlink" Target="http://www.kingsfund.org.uk/publications/paying_the_price.html" TargetMode="External"/><Relationship Id="rId37" Type="http://schemas.openxmlformats.org/officeDocument/2006/relationships/hyperlink" Target="http://www.pssru.ac.uk/project-pages/unit-costs/2013/index.php?file=full" TargetMode="External"/><Relationship Id="rId58" Type="http://schemas.openxmlformats.org/officeDocument/2006/relationships/hyperlink" Target="https://www.google.co.uk/url?sa=t&amp;rct=j&amp;q=&amp;esrc=s&amp;source=web&amp;cd=1&amp;cad=rja&amp;uact=8&amp;ved=0ahUKEwjOqrDBovvPAhXlD8AKHc5GDKYQFggeMAA&amp;url=https%3A%2F%2Fjdrf.org.uk%2Fwp-content%2Fuploads%2F2015%2F10%2FHex-and-Bartlett.pdf&amp;usg=AFQjCNEvjYwjxWFo-_2Ra3AIpk12HuKdfg" TargetMode="External"/><Relationship Id="rId79" Type="http://schemas.openxmlformats.org/officeDocument/2006/relationships/hyperlink" Target="https://kar.kent.ac.uk/92342/" TargetMode="External"/><Relationship Id="rId102" Type="http://schemas.openxmlformats.org/officeDocument/2006/relationships/hyperlink" Target="https://www.england.nhs.uk/wp-content/uploads/2022/07/2_National_schedule_of_NHS_costs_FY20-21.xlsx" TargetMode="External"/><Relationship Id="rId123" Type="http://schemas.openxmlformats.org/officeDocument/2006/relationships/hyperlink" Target="https://www.england.nhs.uk/wp-content/uploads/2022/07/2_National_schedule_of_NHS_costs_FY20-21.xlsx" TargetMode="External"/><Relationship Id="rId144" Type="http://schemas.openxmlformats.org/officeDocument/2006/relationships/hyperlink" Target="http://www.kingsfund.org.uk/publications/paying_the_price.html" TargetMode="External"/><Relationship Id="rId90" Type="http://schemas.openxmlformats.org/officeDocument/2006/relationships/hyperlink" Target="https://kar.kent.ac.uk/84818/" TargetMode="External"/><Relationship Id="rId165" Type="http://schemas.openxmlformats.org/officeDocument/2006/relationships/hyperlink" Target="https://www.mentalhealth.org.uk/sites/default/files/2022-06/MHF-Investing-in-Prevention-Full-Report.pdf" TargetMode="External"/><Relationship Id="rId186" Type="http://schemas.openxmlformats.org/officeDocument/2006/relationships/hyperlink" Target="https://kar.kent.ac.uk/92342/" TargetMode="External"/><Relationship Id="rId211" Type="http://schemas.openxmlformats.org/officeDocument/2006/relationships/hyperlink" Target="https://www.yumpu.com/en/document/view/52468749/costing-report-national-institute-for-health-and-clinical-excellence/9" TargetMode="External"/><Relationship Id="rId27" Type="http://schemas.openxmlformats.org/officeDocument/2006/relationships/hyperlink" Target="http://www.kingsfund.org.uk/publications/paying_the_price.html" TargetMode="External"/><Relationship Id="rId48" Type="http://schemas.openxmlformats.org/officeDocument/2006/relationships/hyperlink" Target="http://webarchive.nationalarchives.gov.uk/20130128102031/http:/statistics.dwp.gov.uk/asd/asd5/rrep169.pdf" TargetMode="External"/><Relationship Id="rId69" Type="http://schemas.openxmlformats.org/officeDocument/2006/relationships/hyperlink" Target="https://kar.kent.ac.uk/65559/40/65559_rep_UCR-2017-v13finalKAR.pdf" TargetMode="External"/><Relationship Id="rId113" Type="http://schemas.openxmlformats.org/officeDocument/2006/relationships/hyperlink" Target="http://jech.bmj.com/content/57/9/740.full.pdf+html" TargetMode="External"/><Relationship Id="rId134" Type="http://schemas.openxmlformats.org/officeDocument/2006/relationships/hyperlink" Target="http://www.kingsfund.org.uk/publications/paying_the_price.html" TargetMode="External"/><Relationship Id="rId80" Type="http://schemas.openxmlformats.org/officeDocument/2006/relationships/hyperlink" Target="https://kar.kent.ac.uk/92342/" TargetMode="External"/><Relationship Id="rId155" Type="http://schemas.openxmlformats.org/officeDocument/2006/relationships/hyperlink" Target="https://www.england.nhs.uk/wp-content/uploads/2022/07/2_National_schedule_of_NHS_costs_FY20-21.xlsx" TargetMode="External"/><Relationship Id="rId176" Type="http://schemas.openxmlformats.org/officeDocument/2006/relationships/hyperlink" Target="https://kar.kent.ac.uk/92342/" TargetMode="External"/><Relationship Id="rId197" Type="http://schemas.openxmlformats.org/officeDocument/2006/relationships/hyperlink" Target="https://www.england.nhs.uk/wp-content/uploads/2022/07/2_National_schedule_of_NHS_costs_FY20-21.xlsx" TargetMode="External"/><Relationship Id="rId201" Type="http://schemas.openxmlformats.org/officeDocument/2006/relationships/hyperlink" Target="https://www.england.nhs.uk/wp-content/uploads/2022/07/2_National_schedule_of_NHS_costs_FY20-21.xlsx" TargetMode="External"/><Relationship Id="rId17" Type="http://schemas.openxmlformats.org/officeDocument/2006/relationships/hyperlink" Target="http://www.kingsfund.org.uk/publications/paying_the_price.html" TargetMode="External"/><Relationship Id="rId38" Type="http://schemas.openxmlformats.org/officeDocument/2006/relationships/hyperlink" Target="http://www.pssru.ac.uk/project-pages/unit-costs/2013/index.php?file=full" TargetMode="External"/><Relationship Id="rId59" Type="http://schemas.openxmlformats.org/officeDocument/2006/relationships/hyperlink" Target="https://www.google.co.uk/url?sa=t&amp;rct=j&amp;q=&amp;esrc=s&amp;source=web&amp;cd=1&amp;cad=rja&amp;uact=8&amp;ved=0ahUKEwjOqrDBovvPAhXlD8AKHc5GDKYQFggeMAA&amp;url=https%3A%2F%2Fjdrf.org.uk%2Fwp-content%2Fuploads%2F2015%2F10%2FHex-and-Bartlett.pdf&amp;usg=AFQjCNEvjYwjxWFo-_2Ra3AIpk12HuKdfg" TargetMode="External"/><Relationship Id="rId103" Type="http://schemas.openxmlformats.org/officeDocument/2006/relationships/hyperlink" Target="https://www.england.nhs.uk/wp-content/uploads/2022/07/2_National_schedule_of_NHS_costs_FY20-21.xlsx" TargetMode="External"/><Relationship Id="rId124" Type="http://schemas.openxmlformats.org/officeDocument/2006/relationships/hyperlink" Target="https://www.england.nhs.uk/wp-content/uploads/2022/07/2_National_schedule_of_NHS_costs_FY20-21.xlsx" TargetMode="External"/><Relationship Id="rId70" Type="http://schemas.openxmlformats.org/officeDocument/2006/relationships/hyperlink" Target="https://kar.kent.ac.uk/65559/40/65559_rep_UCR-2017-v13finalKAR.pdf" TargetMode="External"/><Relationship Id="rId91" Type="http://schemas.openxmlformats.org/officeDocument/2006/relationships/hyperlink" Target="https://kar.kent.ac.uk/92342/" TargetMode="External"/><Relationship Id="rId145" Type="http://schemas.openxmlformats.org/officeDocument/2006/relationships/hyperlink" Target="http://webarchive.nationalarchives.gov.uk/20130128102031/http:/statistics.dwp.gov.uk/asd/asd5/rrep169.pdf" TargetMode="External"/><Relationship Id="rId166" Type="http://schemas.openxmlformats.org/officeDocument/2006/relationships/hyperlink" Target="https://www.mentalhealth.org.uk/sites/default/files/2022-06/MHF-Investing-in-Prevention-Full-Report.pdf" TargetMode="External"/><Relationship Id="rId187" Type="http://schemas.openxmlformats.org/officeDocument/2006/relationships/hyperlink" Target="https://kar.kent.ac.uk/92342/" TargetMode="External"/><Relationship Id="rId1" Type="http://schemas.openxmlformats.org/officeDocument/2006/relationships/hyperlink" Target="http://www.kingsfund.org.uk/publications/paying_the_price.html" TargetMode="External"/><Relationship Id="rId212" Type="http://schemas.openxmlformats.org/officeDocument/2006/relationships/printerSettings" Target="../printerSettings/printerSettings9.bin"/><Relationship Id="rId28" Type="http://schemas.openxmlformats.org/officeDocument/2006/relationships/hyperlink" Target="http://www.kingsfund.org.uk/publications/paying_the_price.html" TargetMode="External"/><Relationship Id="rId49" Type="http://schemas.openxmlformats.org/officeDocument/2006/relationships/hyperlink" Target="http://webarchive.nationalarchives.gov.uk/20130128102031/http:/statistics.dwp.gov.uk/asd/asd5/rrep169.pdf" TargetMode="External"/><Relationship Id="rId114" Type="http://schemas.openxmlformats.org/officeDocument/2006/relationships/hyperlink" Target="http://jech.bmj.com/content/57/9/740.full.pdf+html" TargetMode="External"/><Relationship Id="rId60" Type="http://schemas.openxmlformats.org/officeDocument/2006/relationships/hyperlink" Target="https://journals.sagepub.com/doi/full/10.1177/2396987317746516" TargetMode="External"/><Relationship Id="rId81" Type="http://schemas.openxmlformats.org/officeDocument/2006/relationships/hyperlink" Target="https://kar.kent.ac.uk/92342/" TargetMode="External"/><Relationship Id="rId135" Type="http://schemas.openxmlformats.org/officeDocument/2006/relationships/hyperlink" Target="http://www.kingsfund.org.uk/publications/paying_the_price.html" TargetMode="External"/><Relationship Id="rId156" Type="http://schemas.openxmlformats.org/officeDocument/2006/relationships/hyperlink" Target="https://www.england.nhs.uk/wp-content/uploads/2022/07/2_National_schedule_of_NHS_costs_FY20-21.xlsx" TargetMode="External"/><Relationship Id="rId177" Type="http://schemas.openxmlformats.org/officeDocument/2006/relationships/hyperlink" Target="https://kar.kent.ac.uk/92342/" TargetMode="External"/><Relationship Id="rId198" Type="http://schemas.openxmlformats.org/officeDocument/2006/relationships/hyperlink" Target="https://kar.kent.ac.uk/65559/40/65559_rep_UCR-2017-v13finalKAR.pdf" TargetMode="External"/><Relationship Id="rId202" Type="http://schemas.openxmlformats.org/officeDocument/2006/relationships/hyperlink" Target="https://www.hse.gov.uk/economics/eauappraisal.htm" TargetMode="External"/><Relationship Id="rId18" Type="http://schemas.openxmlformats.org/officeDocument/2006/relationships/hyperlink" Target="http://www.kingsfund.org.uk/publications/paying_the_price.html" TargetMode="External"/><Relationship Id="rId39" Type="http://schemas.openxmlformats.org/officeDocument/2006/relationships/hyperlink" Target="http://www.pssru.ac.uk/project-pages/unit-costs/2013/index.php?file=full" TargetMode="External"/><Relationship Id="rId50" Type="http://schemas.openxmlformats.org/officeDocument/2006/relationships/hyperlink" Target="https://www.york.ac.uk/media/che/documents/papers/researchpapers/CHERP96_multimorbidity_utilisation_costs_health_social%20care.pdf" TargetMode="External"/><Relationship Id="rId104" Type="http://schemas.openxmlformats.org/officeDocument/2006/relationships/hyperlink" Target="https://www.england.nhs.uk/wp-content/uploads/2022/07/2_National_schedule_of_NHS_costs_FY20-21.xlsx" TargetMode="External"/><Relationship Id="rId125" Type="http://schemas.openxmlformats.org/officeDocument/2006/relationships/hyperlink" Target="https://www.england.nhs.uk/wp-content/uploads/2022/07/2_National_schedule_of_NHS_costs_FY20-21.xlsx" TargetMode="External"/><Relationship Id="rId146" Type="http://schemas.openxmlformats.org/officeDocument/2006/relationships/hyperlink" Target="http://webarchive.nationalarchives.gov.uk/20130128102031/http:/statistics.dwp.gov.uk/asd/asd5/rrep169.pdf" TargetMode="External"/><Relationship Id="rId167" Type="http://schemas.openxmlformats.org/officeDocument/2006/relationships/hyperlink" Target="https://www.mentalhealth.org.uk/sites/default/files/2022-06/MHF-Investing-in-Prevention-Full-Report.pdf" TargetMode="External"/><Relationship Id="rId188" Type="http://schemas.openxmlformats.org/officeDocument/2006/relationships/hyperlink" Target="https://kar.kent.ac.uk/92342/" TargetMode="External"/><Relationship Id="rId71" Type="http://schemas.openxmlformats.org/officeDocument/2006/relationships/hyperlink" Target="https://kar.kent.ac.uk/65559/40/65559_rep_UCR-2017-v13finalKAR.pdf" TargetMode="External"/><Relationship Id="rId92" Type="http://schemas.openxmlformats.org/officeDocument/2006/relationships/hyperlink" Target="https://kar.kent.ac.uk/92342/" TargetMode="External"/><Relationship Id="rId2" Type="http://schemas.openxmlformats.org/officeDocument/2006/relationships/hyperlink" Target="https://webarchive.nationalarchives.gov.uk/20170807160642/http:/www.nta.nhs.uk/uploads/vfm2012.pdf" TargetMode="External"/><Relationship Id="rId29" Type="http://schemas.openxmlformats.org/officeDocument/2006/relationships/hyperlink" Target="http://www.kingsfund.org.uk/publications/paying_the_price.html" TargetMode="External"/><Relationship Id="rId40" Type="http://schemas.openxmlformats.org/officeDocument/2006/relationships/hyperlink" Target="http://www.pssru.ac.uk/project-pages/unit-costs/2013/index.php?file=full" TargetMode="External"/><Relationship Id="rId115" Type="http://schemas.openxmlformats.org/officeDocument/2006/relationships/hyperlink" Target="http://jech.bmj.com/content/57/9/740.full.pdf+html" TargetMode="External"/><Relationship Id="rId136" Type="http://schemas.openxmlformats.org/officeDocument/2006/relationships/hyperlink" Target="http://www.kingsfund.org.uk/publications/paying_the_price.html" TargetMode="External"/><Relationship Id="rId157" Type="http://schemas.openxmlformats.org/officeDocument/2006/relationships/hyperlink" Target="https://www.england.nhs.uk/wp-content/uploads/2022/07/2_National_schedule_of_NHS_costs_FY20-21.xlsx" TargetMode="External"/><Relationship Id="rId178" Type="http://schemas.openxmlformats.org/officeDocument/2006/relationships/hyperlink" Target="https://kar.kent.ac.uk/923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B1:J25"/>
  <sheetViews>
    <sheetView showGridLines="0" showRowColHeaders="0" tabSelected="1" zoomScale="90" zoomScaleNormal="90" workbookViewId="0"/>
  </sheetViews>
  <sheetFormatPr defaultColWidth="8.69921875" defaultRowHeight="13.8" x14ac:dyDescent="0.25"/>
  <cols>
    <col min="1" max="1" width="1.19921875" customWidth="1"/>
    <col min="2" max="2" width="1" customWidth="1"/>
    <col min="3" max="3" width="21.69921875" customWidth="1"/>
    <col min="4" max="4" width="98.5" customWidth="1"/>
    <col min="5" max="5" width="42.19921875" customWidth="1"/>
    <col min="6" max="6" width="1" customWidth="1"/>
  </cols>
  <sheetData>
    <row r="1" spans="2:10" ht="7.5" customHeight="1" thickBot="1" x14ac:dyDescent="0.3">
      <c r="C1" s="23"/>
      <c r="D1" s="23"/>
      <c r="E1" s="23"/>
    </row>
    <row r="2" spans="2:10" ht="30.6" thickTop="1" x14ac:dyDescent="0.5">
      <c r="B2" s="18"/>
      <c r="C2" s="258" t="s">
        <v>3261</v>
      </c>
      <c r="D2" s="259"/>
      <c r="E2" s="259"/>
      <c r="F2" s="45"/>
    </row>
    <row r="3" spans="2:10" ht="37.799999999999997" customHeight="1" x14ac:dyDescent="0.25">
      <c r="B3" s="20"/>
      <c r="C3" s="24"/>
      <c r="D3" s="24"/>
      <c r="E3" s="24"/>
      <c r="F3" s="19"/>
    </row>
    <row r="4" spans="2:10" ht="54.75" customHeight="1" x14ac:dyDescent="0.25">
      <c r="B4" s="20"/>
      <c r="C4" s="260" t="s">
        <v>3262</v>
      </c>
      <c r="D4" s="260"/>
      <c r="E4" s="261"/>
      <c r="F4" s="19"/>
    </row>
    <row r="5" spans="2:10" ht="10.5" customHeight="1" x14ac:dyDescent="0.25">
      <c r="B5" s="20"/>
      <c r="C5" s="84"/>
      <c r="D5" s="84"/>
      <c r="E5" s="84"/>
      <c r="F5" s="19"/>
    </row>
    <row r="6" spans="2:10" ht="87.45" customHeight="1" x14ac:dyDescent="0.3">
      <c r="B6" s="20"/>
      <c r="C6" s="262" t="s">
        <v>2497</v>
      </c>
      <c r="D6" s="263"/>
      <c r="E6" s="264"/>
      <c r="F6" s="19"/>
    </row>
    <row r="7" spans="2:10" ht="12" customHeight="1" x14ac:dyDescent="0.25">
      <c r="B7" s="20"/>
      <c r="C7" s="24"/>
      <c r="D7" s="24"/>
      <c r="E7" s="24"/>
      <c r="F7" s="19"/>
    </row>
    <row r="8" spans="2:10" ht="90.75" customHeight="1" x14ac:dyDescent="0.3">
      <c r="B8" s="20"/>
      <c r="C8" s="265" t="s">
        <v>2663</v>
      </c>
      <c r="D8" s="266"/>
      <c r="E8" s="267"/>
      <c r="F8" s="19"/>
    </row>
    <row r="9" spans="2:10" ht="10.95" customHeight="1" x14ac:dyDescent="0.3">
      <c r="B9" s="20"/>
      <c r="C9" s="2"/>
      <c r="D9" s="24"/>
      <c r="E9" s="24"/>
      <c r="F9" s="19"/>
    </row>
    <row r="10" spans="2:10" ht="34.5" customHeight="1" x14ac:dyDescent="0.3">
      <c r="B10" s="20"/>
      <c r="C10" s="262" t="s">
        <v>2353</v>
      </c>
      <c r="D10" s="268"/>
      <c r="E10" s="269"/>
      <c r="F10" s="19"/>
    </row>
    <row r="11" spans="2:10" s="97" customFormat="1" ht="17.25" customHeight="1" x14ac:dyDescent="0.3">
      <c r="B11" s="95"/>
      <c r="C11" s="272" t="s">
        <v>2185</v>
      </c>
      <c r="D11" s="272"/>
      <c r="E11" s="272"/>
      <c r="F11" s="96"/>
    </row>
    <row r="12" spans="2:10" ht="10.5" customHeight="1" x14ac:dyDescent="0.3">
      <c r="B12" s="20"/>
      <c r="C12" s="2"/>
      <c r="D12" s="92"/>
      <c r="E12" s="92"/>
      <c r="F12" s="19"/>
    </row>
    <row r="13" spans="2:10" ht="25.5" customHeight="1" x14ac:dyDescent="0.25">
      <c r="B13" s="20"/>
      <c r="C13" s="1" t="s">
        <v>2186</v>
      </c>
      <c r="D13" s="253"/>
      <c r="E13" s="254"/>
      <c r="F13" s="19"/>
    </row>
    <row r="14" spans="2:10" ht="9" customHeight="1" x14ac:dyDescent="0.3">
      <c r="B14" s="20"/>
      <c r="C14" s="262"/>
      <c r="D14" s="268"/>
      <c r="E14" s="269"/>
      <c r="F14" s="19"/>
    </row>
    <row r="15" spans="2:10" ht="35.25" customHeight="1" x14ac:dyDescent="0.3">
      <c r="B15" s="20"/>
      <c r="C15" s="262" t="s">
        <v>2187</v>
      </c>
      <c r="D15" s="268"/>
      <c r="E15" s="269"/>
      <c r="F15" s="19"/>
    </row>
    <row r="16" spans="2:10" ht="5.7" customHeight="1" x14ac:dyDescent="0.25">
      <c r="B16" s="20"/>
      <c r="C16" s="24"/>
      <c r="D16" s="24"/>
      <c r="E16" s="24"/>
      <c r="F16" s="19"/>
      <c r="J16" s="16"/>
    </row>
    <row r="17" spans="2:10" ht="20.25" customHeight="1" x14ac:dyDescent="0.3">
      <c r="B17" s="20"/>
      <c r="C17" s="270" t="s">
        <v>1249</v>
      </c>
      <c r="D17" s="271"/>
      <c r="E17" s="255" t="s">
        <v>3172</v>
      </c>
      <c r="F17" s="19"/>
    </row>
    <row r="18" spans="2:10" ht="10.5" customHeight="1" x14ac:dyDescent="0.25">
      <c r="B18" s="20"/>
      <c r="C18" s="24"/>
      <c r="D18" s="24"/>
      <c r="E18" s="256"/>
      <c r="F18" s="19"/>
      <c r="I18" s="16"/>
      <c r="J18" s="16"/>
    </row>
    <row r="19" spans="2:10" ht="17.399999999999999" x14ac:dyDescent="0.3">
      <c r="B19" s="20"/>
      <c r="C19" s="104" t="s">
        <v>3116</v>
      </c>
      <c r="D19" s="104"/>
      <c r="E19" s="256"/>
      <c r="F19" s="19"/>
    </row>
    <row r="20" spans="2:10" ht="17.399999999999999" x14ac:dyDescent="0.3">
      <c r="B20" s="20"/>
      <c r="C20" s="104" t="s">
        <v>3173</v>
      </c>
      <c r="D20" s="104"/>
      <c r="E20" s="257"/>
      <c r="F20" s="19"/>
    </row>
    <row r="21" spans="2:10" ht="17.399999999999999" x14ac:dyDescent="0.3">
      <c r="B21" s="20"/>
      <c r="C21" s="104"/>
      <c r="D21" s="104"/>
      <c r="E21" s="25"/>
      <c r="F21" s="19"/>
    </row>
    <row r="22" spans="2:10" ht="18" customHeight="1" x14ac:dyDescent="0.3">
      <c r="B22" s="20"/>
      <c r="C22" s="104"/>
      <c r="D22" s="104"/>
      <c r="E22" s="26"/>
      <c r="F22" s="19"/>
    </row>
    <row r="23" spans="2:10" ht="18" customHeight="1" x14ac:dyDescent="0.3">
      <c r="B23" s="20"/>
      <c r="C23" s="115"/>
      <c r="D23" s="104"/>
      <c r="E23" s="26"/>
      <c r="F23" s="19"/>
    </row>
    <row r="24" spans="2:10" ht="17.25" customHeight="1" thickBot="1" x14ac:dyDescent="0.3">
      <c r="B24" s="21"/>
      <c r="C24" s="116"/>
      <c r="D24" s="27"/>
      <c r="E24" s="27"/>
      <c r="F24" s="22"/>
    </row>
    <row r="25" spans="2:10" ht="14.4" thickTop="1" x14ac:dyDescent="0.25"/>
  </sheetData>
  <sheetProtection sheet="1" objects="1" scenarios="1"/>
  <mergeCells count="11">
    <mergeCell ref="C13:E13"/>
    <mergeCell ref="E17:E20"/>
    <mergeCell ref="C2:E2"/>
    <mergeCell ref="C4:E4"/>
    <mergeCell ref="C6:E6"/>
    <mergeCell ref="C8:E8"/>
    <mergeCell ref="C10:E10"/>
    <mergeCell ref="C15:E15"/>
    <mergeCell ref="C14:E14"/>
    <mergeCell ref="C17:D17"/>
    <mergeCell ref="C11:E11"/>
  </mergeCells>
  <phoneticPr fontId="6" type="noConversion"/>
  <hyperlinks>
    <hyperlink ref="C11" r:id="rId1" xr:uid="{00000000-0004-0000-0000-000000000000}"/>
    <hyperlink ref="C17" r:id="rId2" xr:uid="{00000000-0004-0000-0000-000001000000}"/>
    <hyperlink ref="C17:D17" r:id="rId3" display="cba@greatermanchester-ca.gov.uk" xr:uid="{4694819E-343B-4961-BBDC-F9DF5A2982FF}"/>
    <hyperlink ref="E17:E20" r:id="rId4" display="This work is licensed under the Creative Commons Attribution 4.0 International License. To view a copy of this license, visit http://creativecommons.org/licenses/by/4.0/" xr:uid="{305DD8B0-48FE-4052-944A-A99B40402DCF}"/>
  </hyperlinks>
  <pageMargins left="0.7" right="0.7" top="0.75" bottom="0.75" header="0.3" footer="0.3"/>
  <pageSetup paperSize="8" orientation="landscape"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50"/>
    <outlinePr summaryBelow="0" summaryRight="0"/>
  </sheetPr>
  <dimension ref="A1:U205"/>
  <sheetViews>
    <sheetView showGridLines="0" zoomScale="90" zoomScaleNormal="90" workbookViewId="0">
      <pane xSplit="4" ySplit="2" topLeftCell="E3" activePane="bottomRight" state="frozen"/>
      <selection activeCell="J3" sqref="J3"/>
      <selection pane="topRight" activeCell="J3" sqref="J3"/>
      <selection pane="bottomLeft" activeCell="J3" sqref="J3"/>
      <selection pane="bottomRight" activeCell="A3" sqref="A3"/>
    </sheetView>
  </sheetViews>
  <sheetFormatPr defaultColWidth="9" defaultRowHeight="60" customHeight="1" outlineLevelRow="2" x14ac:dyDescent="0.25"/>
  <cols>
    <col min="1" max="1" width="12.69921875" style="68" customWidth="1" collapsed="1"/>
    <col min="2" max="2" width="14.19921875" style="68" customWidth="1"/>
    <col min="3" max="3" width="8.5" style="68" customWidth="1"/>
    <col min="4" max="4" width="42.3984375" style="68" customWidth="1"/>
    <col min="5" max="5" width="15" style="68" customWidth="1"/>
    <col min="6" max="6" width="16" style="68" customWidth="1"/>
    <col min="7" max="7" width="15.69921875" style="68" customWidth="1"/>
    <col min="8" max="8" width="12.5" style="68" bestFit="1" customWidth="1"/>
    <col min="9" max="9" width="10" style="68" customWidth="1"/>
    <col min="10" max="10" width="12.5" style="68" bestFit="1" customWidth="1"/>
    <col min="11" max="11" width="12.5" style="68" customWidth="1"/>
    <col min="12" max="12" width="10" style="68" customWidth="1"/>
    <col min="13" max="14" width="12.5" style="68" customWidth="1"/>
    <col min="15" max="15" width="10" style="68" customWidth="1"/>
    <col min="16" max="16" width="12.5" style="68" customWidth="1"/>
    <col min="17" max="17" width="46.19921875" style="68" customWidth="1"/>
    <col min="18" max="18" width="12.5" style="68" customWidth="1"/>
    <col min="19" max="19" width="78.19921875" style="68" customWidth="1" collapsed="1"/>
    <col min="20" max="20" width="10.19921875" style="178" customWidth="1"/>
    <col min="21" max="21" width="20.69921875" style="68" customWidth="1"/>
    <col min="22" max="16384" width="9" style="68"/>
  </cols>
  <sheetData>
    <row r="1" spans="1:21" s="47" customFormat="1" ht="31.2"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row>
    <row r="2" spans="1:21" s="47" customFormat="1" ht="30" customHeight="1" collapsed="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row>
    <row r="3" spans="1:21" s="36" customFormat="1" ht="60" customHeight="1" collapsed="1" x14ac:dyDescent="0.25">
      <c r="A3" s="48" t="s">
        <v>234</v>
      </c>
      <c r="B3" s="48" t="s">
        <v>694</v>
      </c>
      <c r="C3" s="48" t="s">
        <v>414</v>
      </c>
      <c r="D3" s="48" t="s">
        <v>1185</v>
      </c>
      <c r="E3" s="13" t="s">
        <v>167</v>
      </c>
      <c r="F3" s="4" t="s">
        <v>210</v>
      </c>
      <c r="G3" s="4" t="s">
        <v>150</v>
      </c>
      <c r="H3" s="11">
        <v>65905</v>
      </c>
      <c r="I3" s="15" t="s">
        <v>1520</v>
      </c>
      <c r="J3" s="17">
        <f>IF(H3&gt;0,(H3*VLOOKUP(Lookups!$K$11,Lookups!$M$10:$P$43,4,0)/VLOOKUP(I3,Lookups!$M$10:$P$43,4,0)),"")</f>
        <v>67877.076774435962</v>
      </c>
      <c r="K3" s="11"/>
      <c r="L3" s="15"/>
      <c r="M3" s="17" t="str">
        <f>IF(K3&gt;0,(K3*VLOOKUP(Lookups!$K$11,Lookups!$M$10:$P$43,4,0)/VLOOKUP(L3,Lookups!$M$10:$P$43,4,0)),"")</f>
        <v/>
      </c>
      <c r="N3" s="11"/>
      <c r="O3" s="15"/>
      <c r="P3" s="17" t="str">
        <f>IF(N3&gt;0,(N3*VLOOKUP(Lookups!$K$11,Lookups!$M$10:$P$43,4,0)/VLOOKUP(O3,Lookups!$M$10:$P$43,4,0)),"")</f>
        <v/>
      </c>
      <c r="Q3" s="143" t="s">
        <v>61</v>
      </c>
      <c r="R3" s="15" t="s">
        <v>152</v>
      </c>
      <c r="S3" s="4" t="s">
        <v>2679</v>
      </c>
      <c r="T3" s="134" t="s">
        <v>923</v>
      </c>
      <c r="U3" s="12" t="s">
        <v>2680</v>
      </c>
    </row>
    <row r="4" spans="1:21" s="36" customFormat="1" ht="60" hidden="1" customHeight="1" outlineLevel="1" collapsed="1" x14ac:dyDescent="0.25">
      <c r="A4" s="50" t="s">
        <v>234</v>
      </c>
      <c r="B4" s="50" t="s">
        <v>694</v>
      </c>
      <c r="C4" s="50" t="s">
        <v>415</v>
      </c>
      <c r="D4" s="50" t="s">
        <v>1787</v>
      </c>
      <c r="E4" s="13" t="s">
        <v>665</v>
      </c>
      <c r="F4" s="4" t="s">
        <v>210</v>
      </c>
      <c r="G4" s="4" t="s">
        <v>150</v>
      </c>
      <c r="H4" s="11">
        <f>45140+14790</f>
        <v>59930</v>
      </c>
      <c r="I4" s="15" t="s">
        <v>196</v>
      </c>
      <c r="J4" s="17">
        <f>IF(H4&gt;0,(H4*VLOOKUP(Lookups!$K$11,Lookups!$M$10:$P$43,4,0)/VLOOKUP(I4,Lookups!$M$10:$P$43,4,0)),"")</f>
        <v>76421.65847707681</v>
      </c>
      <c r="K4" s="11"/>
      <c r="L4" s="15"/>
      <c r="M4" s="17" t="str">
        <f>IF(K4&gt;0,(K4*VLOOKUP(Lookups!$K$11,Lookups!$M$10:$P$43,4,0)/VLOOKUP(L4,Lookups!$M$10:$P$43,4,0)),"")</f>
        <v/>
      </c>
      <c r="N4" s="11"/>
      <c r="O4" s="15"/>
      <c r="P4" s="17" t="str">
        <f>IF(N4&gt;0,(N4*VLOOKUP(Lookups!$K$11,Lookups!$M$10:$P$43,4,0)/VLOOKUP(O4,Lookups!$M$10:$P$43,4,0)),"")</f>
        <v/>
      </c>
      <c r="Q4" s="143" t="s">
        <v>1960</v>
      </c>
      <c r="R4" s="88" t="s">
        <v>149</v>
      </c>
      <c r="S4" s="4" t="s">
        <v>2055</v>
      </c>
      <c r="T4" s="134"/>
      <c r="U4" s="4"/>
    </row>
    <row r="5" spans="1:21" s="36" customFormat="1" ht="60" hidden="1" customHeight="1" outlineLevel="2" x14ac:dyDescent="0.25">
      <c r="A5" s="4" t="s">
        <v>234</v>
      </c>
      <c r="B5" s="4" t="s">
        <v>694</v>
      </c>
      <c r="C5" s="4" t="s">
        <v>749</v>
      </c>
      <c r="D5" s="51" t="s">
        <v>1790</v>
      </c>
      <c r="E5" s="13" t="s">
        <v>158</v>
      </c>
      <c r="F5" s="4" t="s">
        <v>210</v>
      </c>
      <c r="G5" s="4" t="s">
        <v>150</v>
      </c>
      <c r="H5" s="11">
        <f>137+169</f>
        <v>306</v>
      </c>
      <c r="I5" s="15" t="s">
        <v>196</v>
      </c>
      <c r="J5" s="17">
        <f>IF(H5&gt;0,(H5*VLOOKUP(Lookups!$K$11,Lookups!$M$10:$P$43,4,0)/VLOOKUP(I5,Lookups!$M$10:$P$43,4,0)),"")</f>
        <v>390.20569821434179</v>
      </c>
      <c r="K5" s="11"/>
      <c r="L5" s="15"/>
      <c r="M5" s="17" t="str">
        <f>IF(K5&gt;0,(K5*VLOOKUP(Lookups!$K$11,Lookups!$M$10:$P$43,4,0)/VLOOKUP(L5,Lookups!$M$10:$P$43,4,0)),"")</f>
        <v/>
      </c>
      <c r="N5" s="11"/>
      <c r="O5" s="15"/>
      <c r="P5" s="17" t="str">
        <f>IF(N5&gt;0,(N5*VLOOKUP(Lookups!$K$11,Lookups!$M$10:$P$43,4,0)/VLOOKUP(O5,Lookups!$M$10:$P$43,4,0)),"")</f>
        <v/>
      </c>
      <c r="Q5" s="143" t="s">
        <v>1960</v>
      </c>
      <c r="R5" s="88" t="s">
        <v>149</v>
      </c>
      <c r="S5" s="4" t="s">
        <v>2056</v>
      </c>
      <c r="T5" s="134"/>
      <c r="U5" s="4"/>
    </row>
    <row r="6" spans="1:21" s="36" customFormat="1" ht="60" hidden="1" customHeight="1" outlineLevel="2" x14ac:dyDescent="0.25">
      <c r="A6" s="4" t="s">
        <v>234</v>
      </c>
      <c r="B6" s="4" t="s">
        <v>694</v>
      </c>
      <c r="C6" s="4" t="s">
        <v>750</v>
      </c>
      <c r="D6" s="51" t="s">
        <v>1788</v>
      </c>
      <c r="E6" s="13" t="s">
        <v>164</v>
      </c>
      <c r="F6" s="4" t="s">
        <v>210</v>
      </c>
      <c r="G6" s="4" t="s">
        <v>150</v>
      </c>
      <c r="H6" s="11">
        <v>540</v>
      </c>
      <c r="I6" s="15" t="s">
        <v>196</v>
      </c>
      <c r="J6" s="17">
        <f>IF(H6&gt;0,(H6*VLOOKUP(Lookups!$K$11,Lookups!$M$10:$P$43,4,0)/VLOOKUP(I6,Lookups!$M$10:$P$43,4,0)),"")</f>
        <v>688.59829096648559</v>
      </c>
      <c r="K6" s="11"/>
      <c r="L6" s="15"/>
      <c r="M6" s="17" t="str">
        <f>IF(K6&gt;0,(K6*VLOOKUP(Lookups!$K$11,Lookups!$M$10:$P$43,4,0)/VLOOKUP(L6,Lookups!$M$10:$P$43,4,0)),"")</f>
        <v/>
      </c>
      <c r="N6" s="11"/>
      <c r="O6" s="15"/>
      <c r="P6" s="17" t="str">
        <f>IF(N6&gt;0,(N6*VLOOKUP(Lookups!$K$11,Lookups!$M$10:$P$43,4,0)/VLOOKUP(O6,Lookups!$M$10:$P$43,4,0)),"")</f>
        <v/>
      </c>
      <c r="Q6" s="143" t="s">
        <v>1960</v>
      </c>
      <c r="R6" s="88" t="s">
        <v>149</v>
      </c>
      <c r="S6" s="4" t="s">
        <v>2057</v>
      </c>
      <c r="T6" s="134"/>
      <c r="U6" s="4"/>
    </row>
    <row r="7" spans="1:21" s="36" customFormat="1" ht="60" hidden="1" customHeight="1" outlineLevel="2" x14ac:dyDescent="0.25">
      <c r="A7" s="4" t="s">
        <v>234</v>
      </c>
      <c r="B7" s="4" t="s">
        <v>694</v>
      </c>
      <c r="C7" s="4" t="s">
        <v>96</v>
      </c>
      <c r="D7" s="51" t="s">
        <v>1789</v>
      </c>
      <c r="E7" s="13" t="s">
        <v>158</v>
      </c>
      <c r="F7" s="4" t="s">
        <v>210</v>
      </c>
      <c r="G7" s="4" t="s">
        <v>150</v>
      </c>
      <c r="H7" s="11">
        <v>466</v>
      </c>
      <c r="I7" s="15" t="s">
        <v>196</v>
      </c>
      <c r="J7" s="17">
        <f>IF(H7&gt;0,(H7*VLOOKUP(Lookups!$K$11,Lookups!$M$10:$P$43,4,0)/VLOOKUP(I7,Lookups!$M$10:$P$43,4,0)),"")</f>
        <v>594.23482146367087</v>
      </c>
      <c r="K7" s="11"/>
      <c r="L7" s="15"/>
      <c r="M7" s="17" t="str">
        <f>IF(K7&gt;0,(K7*VLOOKUP(Lookups!$K$11,Lookups!$M$10:$P$43,4,0)/VLOOKUP(L7,Lookups!$M$10:$P$43,4,0)),"")</f>
        <v/>
      </c>
      <c r="N7" s="11"/>
      <c r="O7" s="15"/>
      <c r="P7" s="17" t="str">
        <f>IF(N7&gt;0,(N7*VLOOKUP(Lookups!$K$11,Lookups!$M$10:$P$43,4,0)/VLOOKUP(O7,Lookups!$M$10:$P$43,4,0)),"")</f>
        <v/>
      </c>
      <c r="Q7" s="143" t="s">
        <v>1960</v>
      </c>
      <c r="R7" s="88" t="s">
        <v>149</v>
      </c>
      <c r="S7" s="4" t="s">
        <v>2058</v>
      </c>
      <c r="T7" s="134"/>
      <c r="U7" s="4"/>
    </row>
    <row r="8" spans="1:21" s="36" customFormat="1" ht="60" hidden="1" customHeight="1" outlineLevel="2" x14ac:dyDescent="0.25">
      <c r="A8" s="4" t="s">
        <v>234</v>
      </c>
      <c r="B8" s="4" t="s">
        <v>694</v>
      </c>
      <c r="C8" s="4" t="s">
        <v>562</v>
      </c>
      <c r="D8" s="51" t="s">
        <v>2178</v>
      </c>
      <c r="E8" s="13" t="s">
        <v>164</v>
      </c>
      <c r="F8" s="4" t="s">
        <v>210</v>
      </c>
      <c r="G8" s="4" t="s">
        <v>150</v>
      </c>
      <c r="H8" s="11">
        <f>5.4 + 10</f>
        <v>15.4</v>
      </c>
      <c r="I8" s="15" t="s">
        <v>196</v>
      </c>
      <c r="J8" s="17">
        <f>IF(H8&gt;0,(H8*VLOOKUP(Lookups!$K$11,Lookups!$M$10:$P$43,4,0)/VLOOKUP(I8,Lookups!$M$10:$P$43,4,0)),"")</f>
        <v>19.637803112747921</v>
      </c>
      <c r="K8" s="11"/>
      <c r="L8" s="15"/>
      <c r="M8" s="17" t="str">
        <f>IF(K8&gt;0,(K8*VLOOKUP(Lookups!$K$11,Lookups!$M$10:$P$43,4,0)/VLOOKUP(L8,Lookups!$M$10:$P$43,4,0)),"")</f>
        <v/>
      </c>
      <c r="N8" s="11"/>
      <c r="O8" s="15"/>
      <c r="P8" s="17" t="str">
        <f>IF(N8&gt;0,(N8*VLOOKUP(Lookups!$K$11,Lookups!$M$10:$P$43,4,0)/VLOOKUP(O8,Lookups!$M$10:$P$43,4,0)),"")</f>
        <v/>
      </c>
      <c r="Q8" s="143" t="s">
        <v>1960</v>
      </c>
      <c r="R8" s="88" t="s">
        <v>149</v>
      </c>
      <c r="S8" s="4" t="s">
        <v>2059</v>
      </c>
      <c r="T8" s="134"/>
      <c r="U8" s="4"/>
    </row>
    <row r="9" spans="1:21" s="36" customFormat="1" ht="60" hidden="1" customHeight="1" outlineLevel="2" x14ac:dyDescent="0.25">
      <c r="A9" s="4" t="s">
        <v>234</v>
      </c>
      <c r="B9" s="4" t="s">
        <v>694</v>
      </c>
      <c r="C9" s="4" t="s">
        <v>563</v>
      </c>
      <c r="D9" s="51" t="s">
        <v>564</v>
      </c>
      <c r="E9" s="13" t="s">
        <v>170</v>
      </c>
      <c r="F9" s="4" t="s">
        <v>210</v>
      </c>
      <c r="G9" s="4" t="s">
        <v>150</v>
      </c>
      <c r="H9" s="11">
        <v>1328</v>
      </c>
      <c r="I9" s="15" t="s">
        <v>196</v>
      </c>
      <c r="J9" s="17">
        <f>IF(H9&gt;0,(H9*VLOOKUP(Lookups!$K$11,Lookups!$M$10:$P$43,4,0)/VLOOKUP(I9,Lookups!$M$10:$P$43,4,0)),"")</f>
        <v>1693.4417229694311</v>
      </c>
      <c r="K9" s="11"/>
      <c r="L9" s="15"/>
      <c r="M9" s="17" t="str">
        <f>IF(K9&gt;0,(K9*VLOOKUP(Lookups!$K$11,Lookups!$M$10:$P$43,4,0)/VLOOKUP(L9,Lookups!$M$10:$P$43,4,0)),"")</f>
        <v/>
      </c>
      <c r="N9" s="11"/>
      <c r="O9" s="15"/>
      <c r="P9" s="17" t="str">
        <f>IF(N9&gt;0,(N9*VLOOKUP(Lookups!$K$11,Lookups!$M$10:$P$43,4,0)/VLOOKUP(O9,Lookups!$M$10:$P$43,4,0)),"")</f>
        <v/>
      </c>
      <c r="Q9" s="143" t="s">
        <v>1960</v>
      </c>
      <c r="R9" s="88" t="s">
        <v>149</v>
      </c>
      <c r="S9" s="4" t="s">
        <v>2060</v>
      </c>
      <c r="T9" s="134"/>
      <c r="U9" s="4"/>
    </row>
    <row r="10" spans="1:21" s="36" customFormat="1" ht="60" hidden="1" customHeight="1" outlineLevel="1" collapsed="1" x14ac:dyDescent="0.25">
      <c r="A10" s="50" t="s">
        <v>234</v>
      </c>
      <c r="B10" s="50" t="s">
        <v>694</v>
      </c>
      <c r="C10" s="50" t="s">
        <v>565</v>
      </c>
      <c r="D10" s="50" t="s">
        <v>1791</v>
      </c>
      <c r="E10" s="13" t="s">
        <v>665</v>
      </c>
      <c r="F10" s="4" t="s">
        <v>210</v>
      </c>
      <c r="G10" s="4" t="s">
        <v>150</v>
      </c>
      <c r="H10" s="11">
        <f>40910+25110</f>
        <v>66020</v>
      </c>
      <c r="I10" s="15" t="s">
        <v>196</v>
      </c>
      <c r="J10" s="17">
        <f>IF(H10&gt;0,(H10*VLOOKUP(Lookups!$K$11,Lookups!$M$10:$P$43,4,0)/VLOOKUP(I10,Lookups!$M$10:$P$43,4,0)),"")</f>
        <v>84187.516980754401</v>
      </c>
      <c r="K10" s="11"/>
      <c r="L10" s="15"/>
      <c r="M10" s="17" t="str">
        <f>IF(K10&gt;0,(K10*VLOOKUP(Lookups!$K$11,Lookups!$M$10:$P$43,4,0)/VLOOKUP(L10,Lookups!$M$10:$P$43,4,0)),"")</f>
        <v/>
      </c>
      <c r="N10" s="11"/>
      <c r="O10" s="15"/>
      <c r="P10" s="17" t="str">
        <f>IF(N10&gt;0,(N10*VLOOKUP(Lookups!$K$11,Lookups!$M$10:$P$43,4,0)/VLOOKUP(O10,Lookups!$M$10:$P$43,4,0)),"")</f>
        <v/>
      </c>
      <c r="Q10" s="143" t="s">
        <v>416</v>
      </c>
      <c r="R10" s="88" t="s">
        <v>149</v>
      </c>
      <c r="S10" s="4" t="s">
        <v>2061</v>
      </c>
      <c r="T10" s="134"/>
      <c r="U10" s="4"/>
    </row>
    <row r="11" spans="1:21" s="36" customFormat="1" ht="60" hidden="1" customHeight="1" outlineLevel="2" x14ac:dyDescent="0.25">
      <c r="A11" s="4" t="s">
        <v>234</v>
      </c>
      <c r="B11" s="4" t="s">
        <v>694</v>
      </c>
      <c r="C11" s="4" t="s">
        <v>566</v>
      </c>
      <c r="D11" s="51" t="s">
        <v>1792</v>
      </c>
      <c r="E11" s="13" t="s">
        <v>158</v>
      </c>
      <c r="F11" s="4" t="s">
        <v>210</v>
      </c>
      <c r="G11" s="4" t="s">
        <v>150</v>
      </c>
      <c r="H11" s="11">
        <f>137+169</f>
        <v>306</v>
      </c>
      <c r="I11" s="15" t="s">
        <v>196</v>
      </c>
      <c r="J11" s="17">
        <f>IF(H11&gt;0,(H11*VLOOKUP(Lookups!$K$11,Lookups!$M$10:$P$43,4,0)/VLOOKUP(I11,Lookups!$M$10:$P$43,4,0)),"")</f>
        <v>390.20569821434179</v>
      </c>
      <c r="K11" s="11"/>
      <c r="L11" s="15"/>
      <c r="M11" s="17" t="str">
        <f>IF(K11&gt;0,(K11*VLOOKUP(Lookups!$K$11,Lookups!$M$10:$P$43,4,0)/VLOOKUP(L11,Lookups!$M$10:$P$43,4,0)),"")</f>
        <v/>
      </c>
      <c r="N11" s="11"/>
      <c r="O11" s="15"/>
      <c r="P11" s="17" t="str">
        <f>IF(N11&gt;0,(N11*VLOOKUP(Lookups!$K$11,Lookups!$M$10:$P$43,4,0)/VLOOKUP(O11,Lookups!$M$10:$P$43,4,0)),"")</f>
        <v/>
      </c>
      <c r="Q11" s="143" t="s">
        <v>416</v>
      </c>
      <c r="R11" s="88" t="s">
        <v>149</v>
      </c>
      <c r="S11" s="4" t="s">
        <v>2062</v>
      </c>
      <c r="T11" s="134"/>
      <c r="U11" s="4"/>
    </row>
    <row r="12" spans="1:21" s="36" customFormat="1" ht="60" hidden="1" customHeight="1" outlineLevel="2" x14ac:dyDescent="0.25">
      <c r="A12" s="4" t="s">
        <v>234</v>
      </c>
      <c r="B12" s="4" t="s">
        <v>694</v>
      </c>
      <c r="C12" s="4" t="s">
        <v>567</v>
      </c>
      <c r="D12" s="51" t="s">
        <v>1793</v>
      </c>
      <c r="E12" s="13" t="s">
        <v>164</v>
      </c>
      <c r="F12" s="4" t="s">
        <v>210</v>
      </c>
      <c r="G12" s="4" t="s">
        <v>150</v>
      </c>
      <c r="H12" s="11">
        <v>495</v>
      </c>
      <c r="I12" s="15" t="s">
        <v>196</v>
      </c>
      <c r="J12" s="17">
        <f>IF(H12&gt;0,(H12*VLOOKUP(Lookups!$K$11,Lookups!$M$10:$P$43,4,0)/VLOOKUP(I12,Lookups!$M$10:$P$43,4,0)),"")</f>
        <v>631.21510005261177</v>
      </c>
      <c r="K12" s="11"/>
      <c r="L12" s="15"/>
      <c r="M12" s="17" t="str">
        <f>IF(K12&gt;0,(K12*VLOOKUP(Lookups!$K$11,Lookups!$M$10:$P$43,4,0)/VLOOKUP(L12,Lookups!$M$10:$P$43,4,0)),"")</f>
        <v/>
      </c>
      <c r="N12" s="11"/>
      <c r="O12" s="15"/>
      <c r="P12" s="17" t="str">
        <f>IF(N12&gt;0,(N12*VLOOKUP(Lookups!$K$11,Lookups!$M$10:$P$43,4,0)/VLOOKUP(O12,Lookups!$M$10:$P$43,4,0)),"")</f>
        <v/>
      </c>
      <c r="Q12" s="143" t="s">
        <v>416</v>
      </c>
      <c r="R12" s="88" t="s">
        <v>149</v>
      </c>
      <c r="S12" s="4" t="s">
        <v>2063</v>
      </c>
      <c r="T12" s="134"/>
      <c r="U12" s="4"/>
    </row>
    <row r="13" spans="1:21" s="36" customFormat="1" ht="60" hidden="1" customHeight="1" outlineLevel="2" x14ac:dyDescent="0.25">
      <c r="A13" s="4" t="s">
        <v>234</v>
      </c>
      <c r="B13" s="4" t="s">
        <v>694</v>
      </c>
      <c r="C13" s="4" t="s">
        <v>568</v>
      </c>
      <c r="D13" s="51" t="s">
        <v>1794</v>
      </c>
      <c r="E13" s="13" t="s">
        <v>158</v>
      </c>
      <c r="F13" s="4" t="s">
        <v>210</v>
      </c>
      <c r="G13" s="4" t="s">
        <v>150</v>
      </c>
      <c r="H13" s="11">
        <f>466+54</f>
        <v>520</v>
      </c>
      <c r="I13" s="15" t="s">
        <v>196</v>
      </c>
      <c r="J13" s="17">
        <f>IF(H13&gt;0,(H13*VLOOKUP(Lookups!$K$11,Lookups!$M$10:$P$43,4,0)/VLOOKUP(I13,Lookups!$M$10:$P$43,4,0)),"")</f>
        <v>663.09465056031945</v>
      </c>
      <c r="K13" s="141"/>
      <c r="L13" s="15"/>
      <c r="M13" s="17" t="str">
        <f>IF(K13&gt;0,(K13*VLOOKUP(Lookups!$K$11,Lookups!$M$10:$P$43,4,0)/VLOOKUP(L13,Lookups!$M$10:$P$43,4,0)),"")</f>
        <v/>
      </c>
      <c r="N13" s="11"/>
      <c r="O13" s="15"/>
      <c r="P13" s="17" t="str">
        <f>IF(N13&gt;0,(N13*VLOOKUP(Lookups!$K$11,Lookups!$M$10:$P$43,4,0)/VLOOKUP(O13,Lookups!$M$10:$P$43,4,0)),"")</f>
        <v/>
      </c>
      <c r="Q13" s="143" t="s">
        <v>416</v>
      </c>
      <c r="R13" s="88" t="s">
        <v>149</v>
      </c>
      <c r="S13" s="4" t="s">
        <v>2064</v>
      </c>
      <c r="T13" s="134"/>
      <c r="U13" s="4"/>
    </row>
    <row r="14" spans="1:21" s="36" customFormat="1" ht="60" hidden="1" customHeight="1" outlineLevel="2" x14ac:dyDescent="0.25">
      <c r="A14" s="4" t="s">
        <v>234</v>
      </c>
      <c r="B14" s="4" t="s">
        <v>694</v>
      </c>
      <c r="C14" s="4" t="s">
        <v>569</v>
      </c>
      <c r="D14" s="51" t="s">
        <v>1795</v>
      </c>
      <c r="E14" s="13" t="s">
        <v>164</v>
      </c>
      <c r="F14" s="4" t="s">
        <v>210</v>
      </c>
      <c r="G14" s="4" t="s">
        <v>150</v>
      </c>
      <c r="H14" s="11">
        <f>6.6+12.1</f>
        <v>18.7</v>
      </c>
      <c r="I14" s="15" t="s">
        <v>196</v>
      </c>
      <c r="J14" s="17">
        <f>IF(H14&gt;0,(H14*VLOOKUP(Lookups!$K$11,Lookups!$M$10:$P$43,4,0)/VLOOKUP(I14,Lookups!$M$10:$P$43,4,0)),"")</f>
        <v>23.845903779765333</v>
      </c>
      <c r="K14" s="11"/>
      <c r="L14" s="15"/>
      <c r="M14" s="17" t="str">
        <f>IF(K14&gt;0,(K14*VLOOKUP(Lookups!$K$11,Lookups!$M$10:$P$43,4,0)/VLOOKUP(L14,Lookups!$M$10:$P$43,4,0)),"")</f>
        <v/>
      </c>
      <c r="N14" s="11"/>
      <c r="O14" s="15"/>
      <c r="P14" s="17" t="str">
        <f>IF(N14&gt;0,(N14*VLOOKUP(Lookups!$K$11,Lookups!$M$10:$P$43,4,0)/VLOOKUP(O14,Lookups!$M$10:$P$43,4,0)),"")</f>
        <v/>
      </c>
      <c r="Q14" s="143" t="s">
        <v>416</v>
      </c>
      <c r="R14" s="88" t="s">
        <v>149</v>
      </c>
      <c r="S14" s="4" t="s">
        <v>2065</v>
      </c>
      <c r="T14" s="134"/>
      <c r="U14" s="4"/>
    </row>
    <row r="15" spans="1:21" s="36" customFormat="1" ht="60" hidden="1" customHeight="1" outlineLevel="2" x14ac:dyDescent="0.25">
      <c r="A15" s="4" t="s">
        <v>234</v>
      </c>
      <c r="B15" s="4" t="s">
        <v>694</v>
      </c>
      <c r="C15" s="4" t="s">
        <v>339</v>
      </c>
      <c r="D15" s="51" t="s">
        <v>340</v>
      </c>
      <c r="E15" s="13" t="s">
        <v>158</v>
      </c>
      <c r="F15" s="4" t="s">
        <v>210</v>
      </c>
      <c r="G15" s="4" t="s">
        <v>150</v>
      </c>
      <c r="H15" s="11">
        <v>234</v>
      </c>
      <c r="I15" s="15" t="s">
        <v>196</v>
      </c>
      <c r="J15" s="17">
        <f>IF(H15&gt;0,(H15*VLOOKUP(Lookups!$K$11,Lookups!$M$10:$P$43,4,0)/VLOOKUP(I15,Lookups!$M$10:$P$43,4,0)),"")</f>
        <v>298.39259275214374</v>
      </c>
      <c r="K15" s="11"/>
      <c r="L15" s="15"/>
      <c r="M15" s="17" t="str">
        <f>IF(K15&gt;0,(K15*VLOOKUP(Lookups!$K$11,Lookups!$M$10:$P$43,4,0)/VLOOKUP(L15,Lookups!$M$10:$P$43,4,0)),"")</f>
        <v/>
      </c>
      <c r="N15" s="11"/>
      <c r="O15" s="15"/>
      <c r="P15" s="17" t="str">
        <f>IF(N15&gt;0,(N15*VLOOKUP(Lookups!$K$11,Lookups!$M$10:$P$43,4,0)/VLOOKUP(O15,Lookups!$M$10:$P$43,4,0)),"")</f>
        <v/>
      </c>
      <c r="Q15" s="143" t="s">
        <v>416</v>
      </c>
      <c r="R15" s="88" t="s">
        <v>149</v>
      </c>
      <c r="S15" s="4" t="s">
        <v>2066</v>
      </c>
      <c r="T15" s="134"/>
      <c r="U15" s="4"/>
    </row>
    <row r="16" spans="1:21" s="36" customFormat="1" ht="60" hidden="1" customHeight="1" outlineLevel="1" collapsed="1" x14ac:dyDescent="0.25">
      <c r="A16" s="50" t="s">
        <v>234</v>
      </c>
      <c r="B16" s="50" t="s">
        <v>694</v>
      </c>
      <c r="C16" s="50" t="s">
        <v>341</v>
      </c>
      <c r="D16" s="50" t="s">
        <v>1796</v>
      </c>
      <c r="E16" s="13" t="s">
        <v>665</v>
      </c>
      <c r="F16" s="4" t="s">
        <v>210</v>
      </c>
      <c r="G16" s="4" t="s">
        <v>150</v>
      </c>
      <c r="H16" s="11">
        <f>279094+86910</f>
        <v>366004</v>
      </c>
      <c r="I16" s="15" t="s">
        <v>196</v>
      </c>
      <c r="J16" s="17">
        <f>IF(H16&gt;0,(H16*VLOOKUP(Lookups!$K$11,Lookups!$M$10:$P$43,4,0)/VLOOKUP(I16,Lookups!$M$10:$P$43,4,0)),"")</f>
        <v>466721.72016092145</v>
      </c>
      <c r="K16" s="11"/>
      <c r="L16" s="15"/>
      <c r="M16" s="17" t="str">
        <f>IF(K16&gt;0,(K16*VLOOKUP(Lookups!$K$11,Lookups!$M$10:$P$43,4,0)/VLOOKUP(L16,Lookups!$M$10:$P$43,4,0)),"")</f>
        <v/>
      </c>
      <c r="N16" s="11"/>
      <c r="O16" s="15"/>
      <c r="P16" s="17" t="str">
        <f>IF(N16&gt;0,(N16*VLOOKUP(Lookups!$K$11,Lookups!$M$10:$P$43,4,0)/VLOOKUP(O16,Lookups!$M$10:$P$43,4,0)),"")</f>
        <v/>
      </c>
      <c r="Q16" s="143" t="s">
        <v>416</v>
      </c>
      <c r="R16" s="88" t="s">
        <v>149</v>
      </c>
      <c r="S16" s="4" t="s">
        <v>2067</v>
      </c>
      <c r="T16" s="134"/>
      <c r="U16" s="4"/>
    </row>
    <row r="17" spans="1:21" s="36" customFormat="1" ht="60" hidden="1" customHeight="1" outlineLevel="2" x14ac:dyDescent="0.25">
      <c r="A17" s="4" t="s">
        <v>234</v>
      </c>
      <c r="B17" s="4" t="s">
        <v>694</v>
      </c>
      <c r="C17" s="4" t="s">
        <v>342</v>
      </c>
      <c r="D17" s="51" t="s">
        <v>1798</v>
      </c>
      <c r="E17" s="13" t="s">
        <v>158</v>
      </c>
      <c r="F17" s="4" t="s">
        <v>210</v>
      </c>
      <c r="G17" s="4" t="s">
        <v>150</v>
      </c>
      <c r="H17" s="11">
        <f>137+164</f>
        <v>301</v>
      </c>
      <c r="I17" s="15" t="s">
        <v>196</v>
      </c>
      <c r="J17" s="17">
        <f>IF(H17&gt;0,(H17*VLOOKUP(Lookups!$K$11,Lookups!$M$10:$P$43,4,0)/VLOOKUP(I17,Lookups!$M$10:$P$43,4,0)),"")</f>
        <v>383.82978811280026</v>
      </c>
      <c r="K17" s="11"/>
      <c r="L17" s="15"/>
      <c r="M17" s="17" t="str">
        <f>IF(K17&gt;0,(K17*VLOOKUP(Lookups!$K$11,Lookups!$M$10:$P$43,4,0)/VLOOKUP(L17,Lookups!$M$10:$P$43,4,0)),"")</f>
        <v/>
      </c>
      <c r="N17" s="11"/>
      <c r="O17" s="15"/>
      <c r="P17" s="17" t="str">
        <f>IF(N17&gt;0,(N17*VLOOKUP(Lookups!$K$11,Lookups!$M$10:$P$43,4,0)/VLOOKUP(O17,Lookups!$M$10:$P$43,4,0)),"")</f>
        <v/>
      </c>
      <c r="Q17" s="143" t="s">
        <v>416</v>
      </c>
      <c r="R17" s="88" t="s">
        <v>149</v>
      </c>
      <c r="S17" s="4" t="s">
        <v>2068</v>
      </c>
      <c r="T17" s="134"/>
      <c r="U17" s="4"/>
    </row>
    <row r="18" spans="1:21" s="36" customFormat="1" ht="60" hidden="1" customHeight="1" outlineLevel="2" x14ac:dyDescent="0.25">
      <c r="A18" s="4" t="s">
        <v>234</v>
      </c>
      <c r="B18" s="4" t="s">
        <v>694</v>
      </c>
      <c r="C18" s="4" t="s">
        <v>343</v>
      </c>
      <c r="D18" s="51" t="s">
        <v>1799</v>
      </c>
      <c r="E18" s="13" t="s">
        <v>665</v>
      </c>
      <c r="F18" s="4" t="s">
        <v>210</v>
      </c>
      <c r="G18" s="4" t="s">
        <v>150</v>
      </c>
      <c r="H18" s="11">
        <f>(267041+1200)+(54*74)</f>
        <v>272237</v>
      </c>
      <c r="I18" s="15" t="s">
        <v>196</v>
      </c>
      <c r="J18" s="17">
        <f>IF(H18&gt;0,(H18*VLOOKUP(Lookups!$K$11,Lookups!$M$10:$P$43,4,0)/VLOOKUP(I18,Lookups!$M$10:$P$43,4,0)),"")</f>
        <v>347151.72766267246</v>
      </c>
      <c r="K18" s="11"/>
      <c r="L18" s="15"/>
      <c r="M18" s="17" t="str">
        <f>IF(K18&gt;0,(K18*VLOOKUP(Lookups!$K$11,Lookups!$M$10:$P$43,4,0)/VLOOKUP(L18,Lookups!$M$10:$P$43,4,0)),"")</f>
        <v/>
      </c>
      <c r="N18" s="11"/>
      <c r="O18" s="15"/>
      <c r="P18" s="17" t="str">
        <f>IF(N18&gt;0,(N18*VLOOKUP(Lookups!$K$11,Lookups!$M$10:$P$43,4,0)/VLOOKUP(O18,Lookups!$M$10:$P$43,4,0)),"")</f>
        <v/>
      </c>
      <c r="Q18" s="143" t="s">
        <v>416</v>
      </c>
      <c r="R18" s="88" t="s">
        <v>149</v>
      </c>
      <c r="S18" s="4" t="s">
        <v>2069</v>
      </c>
      <c r="T18" s="134"/>
      <c r="U18" s="4"/>
    </row>
    <row r="19" spans="1:21" s="36" customFormat="1" ht="60" hidden="1" customHeight="1" outlineLevel="2" x14ac:dyDescent="0.25">
      <c r="A19" s="4" t="s">
        <v>234</v>
      </c>
      <c r="B19" s="4" t="s">
        <v>694</v>
      </c>
      <c r="C19" s="4" t="s">
        <v>344</v>
      </c>
      <c r="D19" s="51" t="s">
        <v>1800</v>
      </c>
      <c r="E19" s="13" t="s">
        <v>158</v>
      </c>
      <c r="F19" s="4" t="s">
        <v>210</v>
      </c>
      <c r="G19" s="4" t="s">
        <v>150</v>
      </c>
      <c r="H19" s="11">
        <f>(466+930)+(197*2)</f>
        <v>1790</v>
      </c>
      <c r="I19" s="15" t="s">
        <v>196</v>
      </c>
      <c r="J19" s="17">
        <f>IF(H19&gt;0,(H19*VLOOKUP(Lookups!$K$11,Lookups!$M$10:$P$43,4,0)/VLOOKUP(I19,Lookups!$M$10:$P$43,4,0)),"")</f>
        <v>2282.5758163518685</v>
      </c>
      <c r="K19" s="11"/>
      <c r="L19" s="15"/>
      <c r="M19" s="17" t="str">
        <f>IF(K19&gt;0,(K19*VLOOKUP(Lookups!$K$11,Lookups!$M$10:$P$43,4,0)/VLOOKUP(L19,Lookups!$M$10:$P$43,4,0)),"")</f>
        <v/>
      </c>
      <c r="N19" s="11"/>
      <c r="O19" s="15"/>
      <c r="P19" s="17" t="str">
        <f>IF(N19&gt;0,(N19*VLOOKUP(Lookups!$K$11,Lookups!$M$10:$P$43,4,0)/VLOOKUP(O19,Lookups!$M$10:$P$43,4,0)),"")</f>
        <v/>
      </c>
      <c r="Q19" s="143" t="s">
        <v>416</v>
      </c>
      <c r="R19" s="88" t="s">
        <v>149</v>
      </c>
      <c r="S19" s="4" t="s">
        <v>2070</v>
      </c>
      <c r="T19" s="134"/>
      <c r="U19" s="4"/>
    </row>
    <row r="20" spans="1:21" s="36" customFormat="1" ht="60" hidden="1" customHeight="1" outlineLevel="2" x14ac:dyDescent="0.25">
      <c r="A20" s="4" t="s">
        <v>234</v>
      </c>
      <c r="B20" s="4" t="s">
        <v>694</v>
      </c>
      <c r="C20" s="4" t="s">
        <v>590</v>
      </c>
      <c r="D20" s="51" t="s">
        <v>1961</v>
      </c>
      <c r="E20" s="13" t="s">
        <v>665</v>
      </c>
      <c r="F20" s="4" t="s">
        <v>210</v>
      </c>
      <c r="G20" s="4" t="s">
        <v>150</v>
      </c>
      <c r="H20" s="11">
        <f>8879/9</f>
        <v>986.55555555555554</v>
      </c>
      <c r="I20" s="15" t="s">
        <v>196</v>
      </c>
      <c r="J20" s="17">
        <f>IF(H20&gt;0,(H20*VLOOKUP(Lookups!$K$11,Lookups!$M$10:$P$43,4,0)/VLOOKUP(I20,Lookups!$M$10:$P$43,4,0)),"")</f>
        <v>1258.0379064797171</v>
      </c>
      <c r="K20" s="11"/>
      <c r="L20" s="15"/>
      <c r="M20" s="17" t="str">
        <f>IF(K20&gt;0,(K20*VLOOKUP(Lookups!$K$11,Lookups!$M$10:$P$43,4,0)/VLOOKUP(L20,Lookups!$M$10:$P$43,4,0)),"")</f>
        <v/>
      </c>
      <c r="N20" s="11"/>
      <c r="O20" s="15"/>
      <c r="P20" s="17" t="str">
        <f>IF(N20&gt;0,(N20*VLOOKUP(Lookups!$K$11,Lookups!$M$10:$P$43,4,0)/VLOOKUP(O20,Lookups!$M$10:$P$43,4,0)),"")</f>
        <v/>
      </c>
      <c r="Q20" s="143" t="s">
        <v>416</v>
      </c>
      <c r="R20" s="88" t="s">
        <v>149</v>
      </c>
      <c r="S20" s="4" t="s">
        <v>2071</v>
      </c>
      <c r="T20" s="134"/>
      <c r="U20" s="4"/>
    </row>
    <row r="21" spans="1:21" s="36" customFormat="1" ht="60" hidden="1" customHeight="1" outlineLevel="2" x14ac:dyDescent="0.25">
      <c r="A21" s="4" t="s">
        <v>234</v>
      </c>
      <c r="B21" s="4" t="s">
        <v>694</v>
      </c>
      <c r="C21" s="4" t="s">
        <v>591</v>
      </c>
      <c r="D21" s="51" t="s">
        <v>592</v>
      </c>
      <c r="E21" s="13" t="s">
        <v>158</v>
      </c>
      <c r="F21" s="4" t="s">
        <v>210</v>
      </c>
      <c r="G21" s="4" t="s">
        <v>150</v>
      </c>
      <c r="H21" s="11">
        <v>301</v>
      </c>
      <c r="I21" s="15" t="s">
        <v>196</v>
      </c>
      <c r="J21" s="17">
        <f>IF(H21&gt;0,(H21*VLOOKUP(Lookups!$K$11,Lookups!$M$10:$P$43,4,0)/VLOOKUP(I21,Lookups!$M$10:$P$43,4,0)),"")</f>
        <v>383.82978811280026</v>
      </c>
      <c r="K21" s="11"/>
      <c r="L21" s="15"/>
      <c r="M21" s="17" t="str">
        <f>IF(K21&gt;0,(K21*VLOOKUP(Lookups!$K$11,Lookups!$M$10:$P$43,4,0)/VLOOKUP(L21,Lookups!$M$10:$P$43,4,0)),"")</f>
        <v/>
      </c>
      <c r="N21" s="11"/>
      <c r="O21" s="15"/>
      <c r="P21" s="17" t="str">
        <f>IF(N21&gt;0,(N21*VLOOKUP(Lookups!$K$11,Lookups!$M$10:$P$43,4,0)/VLOOKUP(O21,Lookups!$M$10:$P$43,4,0)),"")</f>
        <v/>
      </c>
      <c r="Q21" s="143" t="s">
        <v>416</v>
      </c>
      <c r="R21" s="88" t="s">
        <v>149</v>
      </c>
      <c r="S21" s="4" t="s">
        <v>2072</v>
      </c>
      <c r="T21" s="134"/>
      <c r="U21" s="4"/>
    </row>
    <row r="22" spans="1:21" s="54" customFormat="1" ht="60" hidden="1" customHeight="1" outlineLevel="1" collapsed="1" x14ac:dyDescent="0.25">
      <c r="A22" s="50" t="s">
        <v>234</v>
      </c>
      <c r="B22" s="50" t="s">
        <v>694</v>
      </c>
      <c r="C22" s="50" t="s">
        <v>593</v>
      </c>
      <c r="D22" s="50" t="s">
        <v>1797</v>
      </c>
      <c r="E22" s="13" t="s">
        <v>665</v>
      </c>
      <c r="F22" s="4" t="s">
        <v>210</v>
      </c>
      <c r="G22" s="4" t="s">
        <v>150</v>
      </c>
      <c r="H22" s="11">
        <f>527926+18714</f>
        <v>546640</v>
      </c>
      <c r="I22" s="15" t="s">
        <v>196</v>
      </c>
      <c r="J22" s="17">
        <f>IF(H22&gt;0,(H22*VLOOKUP(Lookups!$K$11,Lookups!$M$10:$P$43,4,0)/VLOOKUP(I22,Lookups!$M$10:$P$43,4,0)),"")</f>
        <v>697065.49958133278</v>
      </c>
      <c r="K22" s="52"/>
      <c r="L22" s="15"/>
      <c r="M22" s="17" t="str">
        <f>IF(K22&gt;0,(K22*VLOOKUP(Lookups!$K$11,Lookups!$M$10:$P$43,4,0)/VLOOKUP(L22,Lookups!$M$10:$P$43,4,0)),"")</f>
        <v/>
      </c>
      <c r="N22" s="52"/>
      <c r="O22" s="15"/>
      <c r="P22" s="17" t="str">
        <f>IF(N22&gt;0,(N22*VLOOKUP(Lookups!$K$11,Lookups!$M$10:$P$43,4,0)/VLOOKUP(O22,Lookups!$M$10:$P$43,4,0)),"")</f>
        <v/>
      </c>
      <c r="Q22" s="143" t="s">
        <v>416</v>
      </c>
      <c r="R22" s="88" t="s">
        <v>149</v>
      </c>
      <c r="S22" s="4" t="s">
        <v>2073</v>
      </c>
      <c r="T22" s="134"/>
      <c r="U22" s="4"/>
    </row>
    <row r="23" spans="1:21" s="54" customFormat="1" ht="60" hidden="1" customHeight="1" outlineLevel="2" x14ac:dyDescent="0.25">
      <c r="A23" s="4" t="s">
        <v>234</v>
      </c>
      <c r="B23" s="4" t="s">
        <v>694</v>
      </c>
      <c r="C23" s="4" t="s">
        <v>131</v>
      </c>
      <c r="D23" s="51" t="s">
        <v>1801</v>
      </c>
      <c r="E23" s="13" t="s">
        <v>158</v>
      </c>
      <c r="F23" s="4" t="s">
        <v>210</v>
      </c>
      <c r="G23" s="4" t="s">
        <v>150</v>
      </c>
      <c r="H23" s="11">
        <f>69+169</f>
        <v>238</v>
      </c>
      <c r="I23" s="15" t="s">
        <v>196</v>
      </c>
      <c r="J23" s="17">
        <f>IF(H23&gt;0,(H23*VLOOKUP(Lookups!$K$11,Lookups!$M$10:$P$43,4,0)/VLOOKUP(I23,Lookups!$M$10:$P$43,4,0)),"")</f>
        <v>303.49332083337697</v>
      </c>
      <c r="K23" s="52"/>
      <c r="L23" s="15"/>
      <c r="M23" s="17" t="str">
        <f>IF(K23&gt;0,(K23*VLOOKUP(Lookups!$K$11,Lookups!$M$10:$P$43,4,0)/VLOOKUP(L23,Lookups!$M$10:$P$43,4,0)),"")</f>
        <v/>
      </c>
      <c r="N23" s="52"/>
      <c r="O23" s="15"/>
      <c r="P23" s="17" t="str">
        <f>IF(N23&gt;0,(N23*VLOOKUP(Lookups!$K$11,Lookups!$M$10:$P$43,4,0)/VLOOKUP(O23,Lookups!$M$10:$P$43,4,0)),"")</f>
        <v/>
      </c>
      <c r="Q23" s="143" t="s">
        <v>416</v>
      </c>
      <c r="R23" s="88" t="s">
        <v>149</v>
      </c>
      <c r="S23" s="4" t="s">
        <v>2074</v>
      </c>
      <c r="T23" s="134"/>
      <c r="U23" s="4"/>
    </row>
    <row r="24" spans="1:21" s="54" customFormat="1" ht="60" hidden="1" customHeight="1" outlineLevel="2" x14ac:dyDescent="0.25">
      <c r="A24" s="4" t="s">
        <v>234</v>
      </c>
      <c r="B24" s="4" t="s">
        <v>694</v>
      </c>
      <c r="C24" s="4" t="s">
        <v>132</v>
      </c>
      <c r="D24" s="51" t="s">
        <v>1802</v>
      </c>
      <c r="E24" s="13" t="s">
        <v>665</v>
      </c>
      <c r="F24" s="4" t="s">
        <v>210</v>
      </c>
      <c r="G24" s="4" t="s">
        <v>150</v>
      </c>
      <c r="H24" s="11">
        <f>510536+1310</f>
        <v>511846</v>
      </c>
      <c r="I24" s="15" t="s">
        <v>196</v>
      </c>
      <c r="J24" s="17">
        <f>IF(H24&gt;0,(H24*VLOOKUP(Lookups!$K$11,Lookups!$M$10:$P$43,4,0)/VLOOKUP(I24,Lookups!$M$10:$P$43,4,0)),"")</f>
        <v>652696.81636672548</v>
      </c>
      <c r="K24" s="52"/>
      <c r="L24" s="15"/>
      <c r="M24" s="17" t="str">
        <f>IF(K24&gt;0,(K24*VLOOKUP(Lookups!$K$11,Lookups!$M$10:$P$43,4,0)/VLOOKUP(L24,Lookups!$M$10:$P$43,4,0)),"")</f>
        <v/>
      </c>
      <c r="N24" s="52"/>
      <c r="O24" s="15"/>
      <c r="P24" s="17" t="str">
        <f>IF(N24&gt;0,(N24*VLOOKUP(Lookups!$K$11,Lookups!$M$10:$P$43,4,0)/VLOOKUP(O24,Lookups!$M$10:$P$43,4,0)),"")</f>
        <v/>
      </c>
      <c r="Q24" s="143" t="s">
        <v>416</v>
      </c>
      <c r="R24" s="88" t="s">
        <v>149</v>
      </c>
      <c r="S24" s="4" t="s">
        <v>2179</v>
      </c>
      <c r="T24" s="134"/>
      <c r="U24" s="4"/>
    </row>
    <row r="25" spans="1:21" s="54" customFormat="1" ht="60" hidden="1" customHeight="1" outlineLevel="2" x14ac:dyDescent="0.25">
      <c r="A25" s="4" t="s">
        <v>234</v>
      </c>
      <c r="B25" s="4" t="s">
        <v>694</v>
      </c>
      <c r="C25" s="4" t="s">
        <v>418</v>
      </c>
      <c r="D25" s="51" t="s">
        <v>1803</v>
      </c>
      <c r="E25" s="13" t="s">
        <v>158</v>
      </c>
      <c r="F25" s="4" t="s">
        <v>210</v>
      </c>
      <c r="G25" s="4" t="s">
        <v>150</v>
      </c>
      <c r="H25" s="11">
        <f>931+399</f>
        <v>1330</v>
      </c>
      <c r="I25" s="15" t="s">
        <v>196</v>
      </c>
      <c r="J25" s="17">
        <f>IF(H25&gt;0,(H25*VLOOKUP(Lookups!$K$11,Lookups!$M$10:$P$43,4,0)/VLOOKUP(I25,Lookups!$M$10:$P$43,4,0)),"")</f>
        <v>1695.9920870100477</v>
      </c>
      <c r="K25" s="52"/>
      <c r="L25" s="15"/>
      <c r="M25" s="17" t="str">
        <f>IF(K25&gt;0,(K25*VLOOKUP(Lookups!$K$11,Lookups!$M$10:$P$43,4,0)/VLOOKUP(L25,Lookups!$M$10:$P$43,4,0)),"")</f>
        <v/>
      </c>
      <c r="N25" s="52"/>
      <c r="O25" s="15"/>
      <c r="P25" s="17" t="str">
        <f>IF(N25&gt;0,(N25*VLOOKUP(Lookups!$K$11,Lookups!$M$10:$P$43,4,0)/VLOOKUP(O25,Lookups!$M$10:$P$43,4,0)),"")</f>
        <v/>
      </c>
      <c r="Q25" s="143" t="s">
        <v>416</v>
      </c>
      <c r="R25" s="88" t="s">
        <v>149</v>
      </c>
      <c r="S25" s="4" t="s">
        <v>2075</v>
      </c>
      <c r="T25" s="134"/>
      <c r="U25" s="4"/>
    </row>
    <row r="26" spans="1:21" s="54" customFormat="1" ht="60" hidden="1" customHeight="1" outlineLevel="2" x14ac:dyDescent="0.25">
      <c r="A26" s="4" t="s">
        <v>234</v>
      </c>
      <c r="B26" s="4" t="s">
        <v>694</v>
      </c>
      <c r="C26" s="4" t="s">
        <v>419</v>
      </c>
      <c r="D26" s="51" t="s">
        <v>1804</v>
      </c>
      <c r="E26" s="13" t="s">
        <v>665</v>
      </c>
      <c r="F26" s="4" t="s">
        <v>210</v>
      </c>
      <c r="G26" s="4" t="s">
        <v>150</v>
      </c>
      <c r="H26" s="11">
        <f>(11454+(92*82))/8</f>
        <v>2374.75</v>
      </c>
      <c r="I26" s="15" t="s">
        <v>196</v>
      </c>
      <c r="J26" s="17">
        <f>IF(H26&gt;0,(H26*VLOOKUP(Lookups!$K$11,Lookups!$M$10:$P$43,4,0)/VLOOKUP(I26,Lookups!$M$10:$P$43,4,0)),"")</f>
        <v>3028.2385027271507</v>
      </c>
      <c r="K26" s="52"/>
      <c r="L26" s="15"/>
      <c r="M26" s="17" t="str">
        <f>IF(K26&gt;0,(K26*VLOOKUP(Lookups!$K$11,Lookups!$M$10:$P$43,4,0)/VLOOKUP(L26,Lookups!$M$10:$P$43,4,0)),"")</f>
        <v/>
      </c>
      <c r="N26" s="52"/>
      <c r="O26" s="15"/>
      <c r="P26" s="17" t="str">
        <f>IF(N26&gt;0,(N26*VLOOKUP(Lookups!$K$11,Lookups!$M$10:$P$43,4,0)/VLOOKUP(O26,Lookups!$M$10:$P$43,4,0)),"")</f>
        <v/>
      </c>
      <c r="Q26" s="143" t="s">
        <v>416</v>
      </c>
      <c r="R26" s="88" t="s">
        <v>149</v>
      </c>
      <c r="S26" s="4" t="s">
        <v>2076</v>
      </c>
      <c r="T26" s="134"/>
      <c r="U26" s="4"/>
    </row>
    <row r="27" spans="1:21" s="54" customFormat="1" ht="60" hidden="1" customHeight="1" outlineLevel="2" x14ac:dyDescent="0.25">
      <c r="A27" s="4" t="s">
        <v>234</v>
      </c>
      <c r="B27" s="4" t="s">
        <v>694</v>
      </c>
      <c r="C27" s="4" t="s">
        <v>420</v>
      </c>
      <c r="D27" s="51" t="s">
        <v>1805</v>
      </c>
      <c r="E27" s="13" t="s">
        <v>164</v>
      </c>
      <c r="F27" s="4" t="s">
        <v>210</v>
      </c>
      <c r="G27" s="4" t="s">
        <v>150</v>
      </c>
      <c r="H27" s="11">
        <f>3.5+6.2</f>
        <v>9.6999999999999993</v>
      </c>
      <c r="I27" s="15" t="s">
        <v>196</v>
      </c>
      <c r="J27" s="17">
        <f>IF(H27&gt;0,(H27*VLOOKUP(Lookups!$K$11,Lookups!$M$10:$P$43,4,0)/VLOOKUP(I27,Lookups!$M$10:$P$43,4,0)),"")</f>
        <v>12.369265596990573</v>
      </c>
      <c r="K27" s="52"/>
      <c r="L27" s="15"/>
      <c r="M27" s="17" t="str">
        <f>IF(K27&gt;0,(K27*VLOOKUP(Lookups!$K$11,Lookups!$M$10:$P$43,4,0)/VLOOKUP(L27,Lookups!$M$10:$P$43,4,0)),"")</f>
        <v/>
      </c>
      <c r="N27" s="52"/>
      <c r="O27" s="15"/>
      <c r="P27" s="17" t="str">
        <f>IF(N27&gt;0,(N27*VLOOKUP(Lookups!$K$11,Lookups!$M$10:$P$43,4,0)/VLOOKUP(O27,Lookups!$M$10:$P$43,4,0)),"")</f>
        <v/>
      </c>
      <c r="Q27" s="143" t="s">
        <v>416</v>
      </c>
      <c r="R27" s="88" t="s">
        <v>149</v>
      </c>
      <c r="S27" s="4" t="s">
        <v>2077</v>
      </c>
      <c r="T27" s="134"/>
      <c r="U27" s="4"/>
    </row>
    <row r="28" spans="1:21" s="54" customFormat="1" ht="60" hidden="1" customHeight="1" outlineLevel="2" x14ac:dyDescent="0.25">
      <c r="A28" s="4" t="s">
        <v>234</v>
      </c>
      <c r="B28" s="4" t="s">
        <v>694</v>
      </c>
      <c r="C28" s="4" t="s">
        <v>345</v>
      </c>
      <c r="D28" s="51" t="s">
        <v>346</v>
      </c>
      <c r="E28" s="13" t="s">
        <v>158</v>
      </c>
      <c r="F28" s="4" t="s">
        <v>210</v>
      </c>
      <c r="G28" s="4" t="s">
        <v>150</v>
      </c>
      <c r="H28" s="11">
        <v>1328</v>
      </c>
      <c r="I28" s="15" t="s">
        <v>196</v>
      </c>
      <c r="J28" s="17">
        <f>IF(H28&gt;0,(H28*VLOOKUP(Lookups!$K$11,Lookups!$M$10:$P$43,4,0)/VLOOKUP(I28,Lookups!$M$10:$P$43,4,0)),"")</f>
        <v>1693.4417229694311</v>
      </c>
      <c r="K28" s="52"/>
      <c r="L28" s="15"/>
      <c r="M28" s="17" t="str">
        <f>IF(K28&gt;0,(K28*VLOOKUP(Lookups!$K$11,Lookups!$M$10:$P$43,4,0)/VLOOKUP(L28,Lookups!$M$10:$P$43,4,0)),"")</f>
        <v/>
      </c>
      <c r="N28" s="52"/>
      <c r="O28" s="15"/>
      <c r="P28" s="17" t="str">
        <f>IF(N28&gt;0,(N28*VLOOKUP(Lookups!$K$11,Lookups!$M$10:$P$43,4,0)/VLOOKUP(O28,Lookups!$M$10:$P$43,4,0)),"")</f>
        <v/>
      </c>
      <c r="Q28" s="143" t="s">
        <v>416</v>
      </c>
      <c r="R28" s="88" t="s">
        <v>149</v>
      </c>
      <c r="S28" s="4" t="s">
        <v>2078</v>
      </c>
      <c r="T28" s="134"/>
      <c r="U28" s="4"/>
    </row>
    <row r="29" spans="1:21" s="53" customFormat="1" ht="60" customHeight="1" collapsed="1" x14ac:dyDescent="0.25">
      <c r="A29" s="48" t="s">
        <v>234</v>
      </c>
      <c r="B29" s="48" t="s">
        <v>694</v>
      </c>
      <c r="C29" s="48" t="s">
        <v>864</v>
      </c>
      <c r="D29" s="48" t="s">
        <v>2790</v>
      </c>
      <c r="E29" s="13" t="s">
        <v>164</v>
      </c>
      <c r="F29" s="4" t="s">
        <v>210</v>
      </c>
      <c r="G29" s="4" t="s">
        <v>150</v>
      </c>
      <c r="H29" s="11">
        <v>661</v>
      </c>
      <c r="I29" s="181" t="s">
        <v>1520</v>
      </c>
      <c r="J29" s="221">
        <f>IF(H29&gt;0,(H29*VLOOKUP(Lookups!$K$11,Lookups!$M$10:$P$43,4,0)/VLOOKUP(I29,Lookups!$M$10:$P$43,4,0)),"")</f>
        <v>680.7791176375415</v>
      </c>
      <c r="K29" s="11"/>
      <c r="L29" s="181"/>
      <c r="M29" s="221" t="str">
        <f>IF(K29&gt;0,(K29*VLOOKUP(Lookups!$K$11,Lookups!$M$10:$P$43,4,0)/VLOOKUP(L29,Lookups!$M$10:$P$43,4,0)),"")</f>
        <v/>
      </c>
      <c r="N29" s="11"/>
      <c r="O29" s="181"/>
      <c r="P29" s="221" t="str">
        <f>IF(N29&gt;0,(N29*VLOOKUP(Lookups!$K$11,Lookups!$M$10:$P$43,4,0)/VLOOKUP(O29,Lookups!$M$10:$P$43,4,0)),"")</f>
        <v/>
      </c>
      <c r="Q29" s="143" t="s">
        <v>2433</v>
      </c>
      <c r="R29" s="181" t="s">
        <v>152</v>
      </c>
      <c r="S29" s="4" t="s">
        <v>3111</v>
      </c>
      <c r="T29" s="176" t="s">
        <v>923</v>
      </c>
      <c r="U29" s="4" t="s">
        <v>2434</v>
      </c>
    </row>
    <row r="30" spans="1:21" s="36" customFormat="1" ht="60" hidden="1" customHeight="1" outlineLevel="2" x14ac:dyDescent="0.25">
      <c r="A30" s="4" t="s">
        <v>234</v>
      </c>
      <c r="B30" s="4" t="s">
        <v>694</v>
      </c>
      <c r="C30" s="49" t="s">
        <v>865</v>
      </c>
      <c r="D30" s="127" t="s">
        <v>2792</v>
      </c>
      <c r="E30" s="80" t="s">
        <v>164</v>
      </c>
      <c r="F30" s="79" t="s">
        <v>210</v>
      </c>
      <c r="G30" s="4" t="s">
        <v>150</v>
      </c>
      <c r="H30" s="11">
        <v>647</v>
      </c>
      <c r="I30" s="15" t="s">
        <v>1520</v>
      </c>
      <c r="J30" s="17">
        <f>IF(H30&gt;0,(H30*VLOOKUP(Lookups!$K$11,Lookups!$M$10:$P$43,4,0)/VLOOKUP(I30,Lookups!$M$10:$P$43,4,0)),"")</f>
        <v>666.36019532751789</v>
      </c>
      <c r="K30" s="11"/>
      <c r="L30" s="15"/>
      <c r="M30" s="17" t="str">
        <f>IF(K30&gt;0,(K30*VLOOKUP(Lookups!$K$11,Lookups!$M$10:$P$43,4,0)/VLOOKUP(L30,Lookups!$M$10:$P$43,4,0)),"")</f>
        <v/>
      </c>
      <c r="N30" s="11"/>
      <c r="O30" s="15"/>
      <c r="P30" s="17" t="str">
        <f>IF(N30&gt;0,(N30*VLOOKUP(Lookups!$K$11,Lookups!$M$10:$P$43,4,0)/VLOOKUP(O30,Lookups!$M$10:$P$43,4,0)),"")</f>
        <v/>
      </c>
      <c r="Q30" s="143" t="s">
        <v>2433</v>
      </c>
      <c r="R30" s="15" t="s">
        <v>152</v>
      </c>
      <c r="S30" s="55" t="s">
        <v>2791</v>
      </c>
      <c r="T30" s="134" t="s">
        <v>923</v>
      </c>
      <c r="U30" s="4" t="s">
        <v>2434</v>
      </c>
    </row>
    <row r="31" spans="1:21" s="36" customFormat="1" ht="60" hidden="1" customHeight="1" outlineLevel="2" x14ac:dyDescent="0.25">
      <c r="A31" s="4" t="s">
        <v>234</v>
      </c>
      <c r="B31" s="4" t="s">
        <v>694</v>
      </c>
      <c r="C31" s="49" t="s">
        <v>866</v>
      </c>
      <c r="D31" s="128" t="s">
        <v>2048</v>
      </c>
      <c r="E31" s="80" t="s">
        <v>164</v>
      </c>
      <c r="F31" s="79" t="s">
        <v>210</v>
      </c>
      <c r="G31" s="4" t="s">
        <v>150</v>
      </c>
      <c r="H31" s="11">
        <v>14</v>
      </c>
      <c r="I31" s="15" t="s">
        <v>1520</v>
      </c>
      <c r="J31" s="17">
        <f>IF(H31&gt;0,(H31*VLOOKUP(Lookups!$K$11,Lookups!$M$10:$P$43,4,0)/VLOOKUP(I31,Lookups!$M$10:$P$43,4,0)),"")</f>
        <v>14.418922310023571</v>
      </c>
      <c r="K31" s="11"/>
      <c r="L31" s="15"/>
      <c r="M31" s="17" t="str">
        <f>IF(K31&gt;0,(K31*VLOOKUP(Lookups!$K$11,Lookups!$M$10:$P$43,4,0)/VLOOKUP(L31,Lookups!$M$10:$P$43,4,0)),"")</f>
        <v/>
      </c>
      <c r="N31" s="11"/>
      <c r="O31" s="15"/>
      <c r="P31" s="17" t="str">
        <f>IF(N31&gt;0,(N31*VLOOKUP(Lookups!$K$11,Lookups!$M$10:$P$43,4,0)/VLOOKUP(O31,Lookups!$M$10:$P$43,4,0)),"")</f>
        <v/>
      </c>
      <c r="Q31" s="143" t="s">
        <v>2433</v>
      </c>
      <c r="R31" s="15" t="s">
        <v>152</v>
      </c>
      <c r="S31" s="4" t="s">
        <v>2793</v>
      </c>
      <c r="T31" s="134" t="s">
        <v>923</v>
      </c>
      <c r="U31" s="4" t="s">
        <v>2434</v>
      </c>
    </row>
    <row r="32" spans="1:21" s="36" customFormat="1" ht="60" hidden="1" customHeight="1" outlineLevel="2" x14ac:dyDescent="0.25">
      <c r="A32" s="4" t="s">
        <v>234</v>
      </c>
      <c r="B32" s="4" t="s">
        <v>694</v>
      </c>
      <c r="C32" s="49" t="s">
        <v>1786</v>
      </c>
      <c r="D32" s="127" t="s">
        <v>1132</v>
      </c>
      <c r="E32" s="129" t="s">
        <v>164</v>
      </c>
      <c r="F32" s="113" t="s">
        <v>210</v>
      </c>
      <c r="G32" s="4" t="s">
        <v>150</v>
      </c>
      <c r="H32" s="11">
        <v>233</v>
      </c>
      <c r="I32" s="15" t="s">
        <v>255</v>
      </c>
      <c r="J32" s="17">
        <f>IF(H32&gt;0,(H32*VLOOKUP(Lookups!$K$11,Lookups!$M$10:$P$43,4,0)/VLOOKUP(I32,Lookups!$M$10:$P$43,4,0)),"")</f>
        <v>280.48618841554196</v>
      </c>
      <c r="K32" s="11"/>
      <c r="L32" s="15"/>
      <c r="M32" s="17" t="str">
        <f>IF(K32&gt;0,(K32*VLOOKUP(Lookups!$K$11,Lookups!$M$10:$P$43,4,0)/VLOOKUP(L32,Lookups!$M$10:$P$43,4,0)),"")</f>
        <v/>
      </c>
      <c r="N32" s="11"/>
      <c r="O32" s="15"/>
      <c r="P32" s="17" t="str">
        <f>IF(N32&gt;0,(N32*VLOOKUP(Lookups!$K$11,Lookups!$M$10:$P$43,4,0)/VLOOKUP(O32,Lookups!$M$10:$P$43,4,0)),"")</f>
        <v/>
      </c>
      <c r="Q32" s="143" t="s">
        <v>1248</v>
      </c>
      <c r="R32" s="15" t="s">
        <v>149</v>
      </c>
      <c r="S32" s="4" t="s">
        <v>3090</v>
      </c>
      <c r="T32" s="134"/>
      <c r="U32" s="4" t="s">
        <v>2141</v>
      </c>
    </row>
    <row r="33" spans="1:21" s="47" customFormat="1" ht="60" hidden="1" customHeight="1" outlineLevel="1" x14ac:dyDescent="0.25">
      <c r="A33" s="50" t="s">
        <v>234</v>
      </c>
      <c r="B33" s="50" t="s">
        <v>694</v>
      </c>
      <c r="C33" s="50" t="s">
        <v>867</v>
      </c>
      <c r="D33" s="42" t="s">
        <v>573</v>
      </c>
      <c r="E33" s="12" t="s">
        <v>153</v>
      </c>
      <c r="F33" s="12" t="s">
        <v>210</v>
      </c>
      <c r="G33" s="4" t="s">
        <v>150</v>
      </c>
      <c r="H33" s="14">
        <v>44.06</v>
      </c>
      <c r="I33" s="15" t="s">
        <v>194</v>
      </c>
      <c r="J33" s="17">
        <f>IF(H33&gt;0,(H33*VLOOKUP(Lookups!$K$11,Lookups!$M$10:$P$43,4,0)/VLOOKUP(I33,Lookups!$M$10:$P$43,4,0)),"")</f>
        <v>58.019013206667125</v>
      </c>
      <c r="K33" s="14"/>
      <c r="L33" s="15"/>
      <c r="M33" s="17" t="str">
        <f>IF(K33&gt;0,(K33*VLOOKUP(Lookups!$K$11,Lookups!$M$10:$P$43,4,0)/VLOOKUP(L33,Lookups!$M$10:$P$43,4,0)),"")</f>
        <v/>
      </c>
      <c r="N33" s="14"/>
      <c r="O33" s="15"/>
      <c r="P33" s="17" t="str">
        <f>IF(N33&gt;0,(N33*VLOOKUP(Lookups!$K$11,Lookups!$M$10:$P$43,4,0)/VLOOKUP(O33,Lookups!$M$10:$P$43,4,0)),"")</f>
        <v/>
      </c>
      <c r="Q33" s="143" t="s">
        <v>2254</v>
      </c>
      <c r="R33" s="15" t="s">
        <v>149</v>
      </c>
      <c r="S33" s="12"/>
      <c r="T33" s="134"/>
      <c r="U33" s="4"/>
    </row>
    <row r="34" spans="1:21" s="53" customFormat="1" ht="60" customHeight="1" collapsed="1" x14ac:dyDescent="0.25">
      <c r="A34" s="48" t="s">
        <v>234</v>
      </c>
      <c r="B34" s="48" t="s">
        <v>694</v>
      </c>
      <c r="C34" s="48" t="s">
        <v>574</v>
      </c>
      <c r="D34" s="48" t="s">
        <v>2794</v>
      </c>
      <c r="E34" s="13" t="s">
        <v>164</v>
      </c>
      <c r="F34" s="4" t="s">
        <v>210</v>
      </c>
      <c r="G34" s="4" t="s">
        <v>150</v>
      </c>
      <c r="H34" s="226">
        <v>5059</v>
      </c>
      <c r="I34" s="181" t="s">
        <v>1520</v>
      </c>
      <c r="J34" s="221">
        <f>IF(H34&gt;0,(H34*VLOOKUP(Lookups!$K$11,Lookups!$M$10:$P$43,4,0)/VLOOKUP(I34,Lookups!$M$10:$P$43,4,0)),"")</f>
        <v>5210.380569029232</v>
      </c>
      <c r="K34" s="11"/>
      <c r="L34" s="181"/>
      <c r="M34" s="221" t="str">
        <f>IF(K34&gt;0,(K34*VLOOKUP(Lookups!$K$11,Lookups!$M$10:$P$43,4,0)/VLOOKUP(L34,Lookups!$M$10:$P$43,4,0)),"")</f>
        <v/>
      </c>
      <c r="N34" s="11"/>
      <c r="O34" s="181"/>
      <c r="P34" s="221" t="str">
        <f>IF(N34&gt;0,(N34*VLOOKUP(Lookups!$K$11,Lookups!$M$10:$P$43,4,0)/VLOOKUP(O34,Lookups!$M$10:$P$43,4,0)),"")</f>
        <v/>
      </c>
      <c r="Q34" s="173" t="s">
        <v>2435</v>
      </c>
      <c r="R34" s="181" t="s">
        <v>152</v>
      </c>
      <c r="S34" s="185" t="s">
        <v>3112</v>
      </c>
      <c r="T34" s="176" t="s">
        <v>923</v>
      </c>
      <c r="U34" s="4" t="s">
        <v>2434</v>
      </c>
    </row>
    <row r="35" spans="1:21" s="53" customFormat="1" ht="60" hidden="1" customHeight="1" outlineLevel="1" x14ac:dyDescent="0.25">
      <c r="A35" s="50" t="s">
        <v>234</v>
      </c>
      <c r="B35" s="50" t="s">
        <v>694</v>
      </c>
      <c r="C35" s="50" t="s">
        <v>575</v>
      </c>
      <c r="D35" s="50" t="s">
        <v>2142</v>
      </c>
      <c r="E35" s="13" t="s">
        <v>164</v>
      </c>
      <c r="F35" s="4" t="s">
        <v>210</v>
      </c>
      <c r="G35" s="4" t="s">
        <v>150</v>
      </c>
      <c r="H35" s="11">
        <v>4345</v>
      </c>
      <c r="I35" s="181" t="s">
        <v>1520</v>
      </c>
      <c r="J35" s="221">
        <f>IF(H35&gt;0,(H35*VLOOKUP(Lookups!$K$11,Lookups!$M$10:$P$43,4,0)/VLOOKUP(I35,Lookups!$M$10:$P$43,4,0)),"")</f>
        <v>4475.0155312180295</v>
      </c>
      <c r="K35" s="11"/>
      <c r="L35" s="181"/>
      <c r="M35" s="221" t="str">
        <f>IF(K35&gt;0,(K35*VLOOKUP(Lookups!$K$11,Lookups!$M$10:$P$43,4,0)/VLOOKUP(L35,Lookups!$M$10:$P$43,4,0)),"")</f>
        <v/>
      </c>
      <c r="N35" s="11"/>
      <c r="O35" s="181"/>
      <c r="P35" s="221" t="str">
        <f>IF(N35&gt;0,(N35*VLOOKUP(Lookups!$K$11,Lookups!$M$10:$P$43,4,0)/VLOOKUP(O35,Lookups!$M$10:$P$43,4,0)),"")</f>
        <v/>
      </c>
      <c r="Q35" s="173" t="s">
        <v>2436</v>
      </c>
      <c r="R35" s="181" t="s">
        <v>152</v>
      </c>
      <c r="S35" s="55" t="s">
        <v>3113</v>
      </c>
      <c r="T35" s="176" t="s">
        <v>923</v>
      </c>
      <c r="U35" s="4" t="s">
        <v>2434</v>
      </c>
    </row>
    <row r="36" spans="1:21" s="54" customFormat="1" ht="60" customHeight="1" collapsed="1" x14ac:dyDescent="0.25">
      <c r="A36" s="48" t="s">
        <v>234</v>
      </c>
      <c r="B36" s="48" t="s">
        <v>693</v>
      </c>
      <c r="C36" s="48" t="s">
        <v>576</v>
      </c>
      <c r="D36" s="48" t="s">
        <v>577</v>
      </c>
      <c r="E36" s="13" t="s">
        <v>148</v>
      </c>
      <c r="F36" s="4" t="s">
        <v>147</v>
      </c>
      <c r="G36" s="34"/>
      <c r="H36" s="11">
        <v>25000</v>
      </c>
      <c r="I36" s="15" t="s">
        <v>191</v>
      </c>
      <c r="J36" s="17">
        <f>IF(H36&gt;0,(H36*VLOOKUP(Lookups!$K$11,Lookups!$M$10:$P$43,4,0)/VLOOKUP(I36,Lookups!$M$10:$P$43,4,0)),"")</f>
        <v>35876.500860631655</v>
      </c>
      <c r="K36" s="11"/>
      <c r="L36" s="15"/>
      <c r="M36" s="17" t="str">
        <f>IF(K36&gt;0,(K36*VLOOKUP(Lookups!$K$11,Lookups!$M$10:$P$43,4,0)/VLOOKUP(L36,Lookups!$M$10:$P$43,4,0)),"")</f>
        <v/>
      </c>
      <c r="N36" s="11"/>
      <c r="O36" s="15"/>
      <c r="P36" s="17" t="str">
        <f>IF(N36&gt;0,(N36*VLOOKUP(Lookups!$K$11,Lookups!$M$10:$P$43,4,0)/VLOOKUP(O36,Lookups!$M$10:$P$43,4,0)),"")</f>
        <v/>
      </c>
      <c r="Q36" s="82" t="s">
        <v>578</v>
      </c>
      <c r="R36" s="15" t="s">
        <v>149</v>
      </c>
      <c r="S36" s="4" t="s">
        <v>579</v>
      </c>
      <c r="T36" s="176"/>
      <c r="U36" s="90"/>
    </row>
    <row r="37" spans="1:21" s="54" customFormat="1" ht="60" hidden="1" customHeight="1" outlineLevel="2" x14ac:dyDescent="0.25">
      <c r="A37" s="4" t="s">
        <v>234</v>
      </c>
      <c r="B37" s="4" t="s">
        <v>693</v>
      </c>
      <c r="C37" s="12" t="s">
        <v>2164</v>
      </c>
      <c r="D37" s="51" t="s">
        <v>580</v>
      </c>
      <c r="E37" s="13" t="s">
        <v>148</v>
      </c>
      <c r="F37" s="4" t="s">
        <v>147</v>
      </c>
      <c r="G37" s="34" t="s">
        <v>696</v>
      </c>
      <c r="H37" s="11">
        <v>15000</v>
      </c>
      <c r="I37" s="15" t="s">
        <v>191</v>
      </c>
      <c r="J37" s="17">
        <f>IF(H37&gt;0,(H37*VLOOKUP(Lookups!$K$11,Lookups!$M$10:$P$43,4,0)/VLOOKUP(I37,Lookups!$M$10:$P$43,4,0)),"")</f>
        <v>21525.900516378992</v>
      </c>
      <c r="K37" s="11"/>
      <c r="L37" s="15"/>
      <c r="M37" s="17" t="str">
        <f>IF(K37&gt;0,(K37*VLOOKUP(Lookups!$K$11,Lookups!$M$10:$P$43,4,0)/VLOOKUP(L37,Lookups!$M$10:$P$43,4,0)),"")</f>
        <v/>
      </c>
      <c r="N37" s="11"/>
      <c r="O37" s="15"/>
      <c r="P37" s="17" t="str">
        <f>IF(N37&gt;0,(N37*VLOOKUP(Lookups!$K$11,Lookups!$M$10:$P$43,4,0)/VLOOKUP(O37,Lookups!$M$10:$P$43,4,0)),"")</f>
        <v/>
      </c>
      <c r="Q37" s="82" t="s">
        <v>578</v>
      </c>
      <c r="R37" s="15" t="s">
        <v>149</v>
      </c>
      <c r="S37" s="4" t="s">
        <v>581</v>
      </c>
      <c r="T37" s="176"/>
      <c r="U37" s="90"/>
    </row>
    <row r="38" spans="1:21" s="54" customFormat="1" ht="60" hidden="1" customHeight="1" outlineLevel="2" x14ac:dyDescent="0.25">
      <c r="A38" s="4" t="s">
        <v>234</v>
      </c>
      <c r="B38" s="4" t="s">
        <v>693</v>
      </c>
      <c r="C38" s="12" t="s">
        <v>2165</v>
      </c>
      <c r="D38" s="51" t="s">
        <v>582</v>
      </c>
      <c r="E38" s="13" t="s">
        <v>148</v>
      </c>
      <c r="F38" s="4" t="s">
        <v>210</v>
      </c>
      <c r="G38" s="4" t="s">
        <v>150</v>
      </c>
      <c r="H38" s="11">
        <v>6250</v>
      </c>
      <c r="I38" s="15" t="s">
        <v>191</v>
      </c>
      <c r="J38" s="17">
        <f>IF(H38&gt;0,(H38*VLOOKUP(Lookups!$K$11,Lookups!$M$10:$P$43,4,0)/VLOOKUP(I38,Lookups!$M$10:$P$43,4,0)),"")</f>
        <v>8969.1252151579138</v>
      </c>
      <c r="K38" s="11"/>
      <c r="L38" s="15"/>
      <c r="M38" s="17" t="str">
        <f>IF(K38&gt;0,(K38*VLOOKUP(Lookups!$K$11,Lookups!$M$10:$P$43,4,0)/VLOOKUP(L38,Lookups!$M$10:$P$43,4,0)),"")</f>
        <v/>
      </c>
      <c r="N38" s="11"/>
      <c r="O38" s="15"/>
      <c r="P38" s="17" t="str">
        <f>IF(N38&gt;0,(N38*VLOOKUP(Lookups!$K$11,Lookups!$M$10:$P$43,4,0)/VLOOKUP(O38,Lookups!$M$10:$P$43,4,0)),"")</f>
        <v/>
      </c>
      <c r="Q38" s="82" t="s">
        <v>578</v>
      </c>
      <c r="R38" s="15" t="s">
        <v>149</v>
      </c>
      <c r="S38" s="4" t="s">
        <v>583</v>
      </c>
      <c r="T38" s="176"/>
      <c r="U38" s="90"/>
    </row>
    <row r="39" spans="1:21" s="54" customFormat="1" ht="60" hidden="1" customHeight="1" outlineLevel="2" x14ac:dyDescent="0.25">
      <c r="A39" s="4" t="s">
        <v>234</v>
      </c>
      <c r="B39" s="4" t="s">
        <v>693</v>
      </c>
      <c r="C39" s="12" t="s">
        <v>2166</v>
      </c>
      <c r="D39" s="51" t="s">
        <v>584</v>
      </c>
      <c r="E39" s="13" t="s">
        <v>148</v>
      </c>
      <c r="F39" s="4" t="s">
        <v>147</v>
      </c>
      <c r="G39" s="34" t="s">
        <v>265</v>
      </c>
      <c r="H39" s="11">
        <v>1250</v>
      </c>
      <c r="I39" s="15" t="s">
        <v>191</v>
      </c>
      <c r="J39" s="17">
        <f>IF(H39&gt;0,(H39*VLOOKUP(Lookups!$K$11,Lookups!$M$10:$P$43,4,0)/VLOOKUP(I39,Lookups!$M$10:$P$43,4,0)),"")</f>
        <v>1793.8250430315827</v>
      </c>
      <c r="K39" s="11"/>
      <c r="L39" s="15"/>
      <c r="M39" s="17" t="str">
        <f>IF(K39&gt;0,(K39*VLOOKUP(Lookups!$K$11,Lookups!$M$10:$P$43,4,0)/VLOOKUP(L39,Lookups!$M$10:$P$43,4,0)),"")</f>
        <v/>
      </c>
      <c r="N39" s="11"/>
      <c r="O39" s="15"/>
      <c r="P39" s="17" t="str">
        <f>IF(N39&gt;0,(N39*VLOOKUP(Lookups!$K$11,Lookups!$M$10:$P$43,4,0)/VLOOKUP(O39,Lookups!$M$10:$P$43,4,0)),"")</f>
        <v/>
      </c>
      <c r="Q39" s="82" t="s">
        <v>578</v>
      </c>
      <c r="R39" s="15" t="s">
        <v>149</v>
      </c>
      <c r="S39" s="4" t="s">
        <v>585</v>
      </c>
      <c r="T39" s="176"/>
      <c r="U39" s="90"/>
    </row>
    <row r="40" spans="1:21" s="54" customFormat="1" ht="60" hidden="1" customHeight="1" outlineLevel="2" x14ac:dyDescent="0.25">
      <c r="A40" s="4" t="s">
        <v>234</v>
      </c>
      <c r="B40" s="4" t="s">
        <v>693</v>
      </c>
      <c r="C40" s="12" t="s">
        <v>2167</v>
      </c>
      <c r="D40" s="51" t="s">
        <v>586</v>
      </c>
      <c r="E40" s="13" t="s">
        <v>148</v>
      </c>
      <c r="F40" s="4" t="s">
        <v>697</v>
      </c>
      <c r="G40" s="34" t="s">
        <v>695</v>
      </c>
      <c r="H40" s="11">
        <v>2500</v>
      </c>
      <c r="I40" s="15" t="s">
        <v>191</v>
      </c>
      <c r="J40" s="17">
        <f>IF(H40&gt;0,(H40*VLOOKUP(Lookups!$K$11,Lookups!$M$10:$P$43,4,0)/VLOOKUP(I40,Lookups!$M$10:$P$43,4,0)),"")</f>
        <v>3587.6500860631654</v>
      </c>
      <c r="K40" s="11"/>
      <c r="L40" s="15"/>
      <c r="M40" s="17" t="str">
        <f>IF(K40&gt;0,(K40*VLOOKUP(Lookups!$K$11,Lookups!$M$10:$P$43,4,0)/VLOOKUP(L40,Lookups!$M$10:$P$43,4,0)),"")</f>
        <v/>
      </c>
      <c r="N40" s="11"/>
      <c r="O40" s="15"/>
      <c r="P40" s="17" t="str">
        <f>IF(N40&gt;0,(N40*VLOOKUP(Lookups!$K$11,Lookups!$M$10:$P$43,4,0)/VLOOKUP(O40,Lookups!$M$10:$P$43,4,0)),"")</f>
        <v/>
      </c>
      <c r="Q40" s="82" t="s">
        <v>578</v>
      </c>
      <c r="R40" s="15" t="s">
        <v>149</v>
      </c>
      <c r="S40" s="4" t="s">
        <v>587</v>
      </c>
      <c r="T40" s="176"/>
      <c r="U40" s="90"/>
    </row>
    <row r="41" spans="1:21" s="47" customFormat="1" ht="60" customHeight="1" collapsed="1" x14ac:dyDescent="0.25">
      <c r="A41" s="40" t="s">
        <v>234</v>
      </c>
      <c r="B41" s="40" t="s">
        <v>699</v>
      </c>
      <c r="C41" s="40" t="s">
        <v>588</v>
      </c>
      <c r="D41" s="40" t="s">
        <v>1219</v>
      </c>
      <c r="E41" s="12" t="s">
        <v>666</v>
      </c>
      <c r="F41" s="12" t="s">
        <v>210</v>
      </c>
      <c r="G41" s="4" t="s">
        <v>150</v>
      </c>
      <c r="H41" s="46">
        <v>1416</v>
      </c>
      <c r="I41" s="15" t="s">
        <v>194</v>
      </c>
      <c r="J41" s="17">
        <f>IF(H41&gt;0,(H41*VLOOKUP(Lookups!$K$11,Lookups!$M$10:$P$43,4,0)/VLOOKUP(I41,Lookups!$M$10:$P$43,4,0)),"")</f>
        <v>1864.6146777267506</v>
      </c>
      <c r="K41" s="46"/>
      <c r="L41" s="15"/>
      <c r="M41" s="17" t="str">
        <f>IF(K41&gt;0,(K41*VLOOKUP(Lookups!$K$11,Lookups!$M$10:$P$43,4,0)/VLOOKUP(L41,Lookups!$M$10:$P$43,4,0)),"")</f>
        <v/>
      </c>
      <c r="N41" s="46"/>
      <c r="O41" s="15"/>
      <c r="P41" s="17" t="str">
        <f>IF(N41&gt;0,(N41*VLOOKUP(Lookups!$K$11,Lookups!$M$10:$P$43,4,0)/VLOOKUP(O41,Lookups!$M$10:$P$43,4,0)),"")</f>
        <v/>
      </c>
      <c r="Q41" s="82" t="s">
        <v>589</v>
      </c>
      <c r="R41" s="15" t="s">
        <v>149</v>
      </c>
      <c r="S41" s="12" t="s">
        <v>1232</v>
      </c>
      <c r="T41" s="15"/>
      <c r="U41" s="100"/>
    </row>
    <row r="42" spans="1:21" s="47" customFormat="1" ht="60" hidden="1" customHeight="1" outlineLevel="2" x14ac:dyDescent="0.25">
      <c r="A42" s="12" t="s">
        <v>234</v>
      </c>
      <c r="B42" s="12" t="s">
        <v>699</v>
      </c>
      <c r="C42" s="34" t="s">
        <v>325</v>
      </c>
      <c r="D42" s="44" t="s">
        <v>1220</v>
      </c>
      <c r="E42" s="12" t="s">
        <v>666</v>
      </c>
      <c r="F42" s="12" t="s">
        <v>210</v>
      </c>
      <c r="G42" s="4" t="s">
        <v>150</v>
      </c>
      <c r="H42" s="46">
        <v>186</v>
      </c>
      <c r="I42" s="15" t="s">
        <v>194</v>
      </c>
      <c r="J42" s="17">
        <f>IF(H42&gt;0,(H42*VLOOKUP(Lookups!$K$11,Lookups!$M$10:$P$43,4,0)/VLOOKUP(I42,Lookups!$M$10:$P$43,4,0)),"")</f>
        <v>244.92819919292066</v>
      </c>
      <c r="K42" s="46"/>
      <c r="L42" s="15"/>
      <c r="M42" s="17" t="str">
        <f>IF(K42&gt;0,(K42*VLOOKUP(Lookups!$K$11,Lookups!$M$10:$P$43,4,0)/VLOOKUP(L42,Lookups!$M$10:$P$43,4,0)),"")</f>
        <v/>
      </c>
      <c r="N42" s="46"/>
      <c r="O42" s="15"/>
      <c r="P42" s="17" t="str">
        <f>IF(N42&gt;0,(N42*VLOOKUP(Lookups!$K$11,Lookups!$M$10:$P$43,4,0)/VLOOKUP(O42,Lookups!$M$10:$P$43,4,0)),"")</f>
        <v/>
      </c>
      <c r="Q42" s="82" t="s">
        <v>326</v>
      </c>
      <c r="R42" s="15" t="s">
        <v>149</v>
      </c>
      <c r="S42" s="12" t="s">
        <v>1227</v>
      </c>
      <c r="T42" s="15"/>
      <c r="U42" s="100"/>
    </row>
    <row r="43" spans="1:21" s="47" customFormat="1" ht="60" hidden="1" customHeight="1" outlineLevel="2" x14ac:dyDescent="0.25">
      <c r="A43" s="12" t="s">
        <v>234</v>
      </c>
      <c r="B43" s="12" t="s">
        <v>699</v>
      </c>
      <c r="C43" s="34" t="s">
        <v>327</v>
      </c>
      <c r="D43" s="44" t="s">
        <v>1221</v>
      </c>
      <c r="E43" s="12" t="s">
        <v>666</v>
      </c>
      <c r="F43" s="12" t="s">
        <v>210</v>
      </c>
      <c r="G43" s="4" t="s">
        <v>150</v>
      </c>
      <c r="H43" s="46">
        <v>271</v>
      </c>
      <c r="I43" s="15" t="s">
        <v>194</v>
      </c>
      <c r="J43" s="17">
        <f>IF(H43&gt;0,(H43*VLOOKUP(Lookups!$K$11,Lookups!$M$10:$P$43,4,0)/VLOOKUP(I43,Lookups!$M$10:$P$43,4,0)),"")</f>
        <v>356.85775258753495</v>
      </c>
      <c r="K43" s="46"/>
      <c r="L43" s="15"/>
      <c r="M43" s="17" t="str">
        <f>IF(K43&gt;0,(K43*VLOOKUP(Lookups!$K$11,Lookups!$M$10:$P$43,4,0)/VLOOKUP(L43,Lookups!$M$10:$P$43,4,0)),"")</f>
        <v/>
      </c>
      <c r="N43" s="46"/>
      <c r="O43" s="15"/>
      <c r="P43" s="17" t="str">
        <f>IF(N43&gt;0,(N43*VLOOKUP(Lookups!$K$11,Lookups!$M$10:$P$43,4,0)/VLOOKUP(O43,Lookups!$M$10:$P$43,4,0)),"")</f>
        <v/>
      </c>
      <c r="Q43" s="82" t="s">
        <v>326</v>
      </c>
      <c r="R43" s="15" t="s">
        <v>149</v>
      </c>
      <c r="S43" s="12" t="s">
        <v>1217</v>
      </c>
      <c r="T43" s="15"/>
      <c r="U43" s="100"/>
    </row>
    <row r="44" spans="1:21" s="47" customFormat="1" ht="60" hidden="1" customHeight="1" outlineLevel="2" x14ac:dyDescent="0.25">
      <c r="A44" s="12" t="s">
        <v>234</v>
      </c>
      <c r="B44" s="12" t="s">
        <v>699</v>
      </c>
      <c r="C44" s="34" t="s">
        <v>328</v>
      </c>
      <c r="D44" s="44" t="s">
        <v>2003</v>
      </c>
      <c r="E44" s="12" t="s">
        <v>165</v>
      </c>
      <c r="F44" s="12" t="s">
        <v>210</v>
      </c>
      <c r="G44" s="4" t="s">
        <v>150</v>
      </c>
      <c r="H44" s="46">
        <v>192.71</v>
      </c>
      <c r="I44" s="15" t="s">
        <v>196</v>
      </c>
      <c r="J44" s="17">
        <f>IF(H44&gt;0,(H44*VLOOKUP(Lookups!$K$11,Lookups!$M$10:$P$43,4,0)/VLOOKUP(I44,Lookups!$M$10:$P$43,4,0)),"")</f>
        <v>245.74032713361379</v>
      </c>
      <c r="K44" s="46"/>
      <c r="L44" s="15"/>
      <c r="M44" s="17" t="str">
        <f>IF(K44&gt;0,(K44*VLOOKUP(Lookups!$K$11,Lookups!$M$10:$P$43,4,0)/VLOOKUP(L44,Lookups!$M$10:$P$43,4,0)),"")</f>
        <v/>
      </c>
      <c r="N44" s="46"/>
      <c r="O44" s="15"/>
      <c r="P44" s="17" t="str">
        <f>IF(N44&gt;0,(N44*VLOOKUP(Lookups!$K$11,Lookups!$M$10:$P$43,4,0)/VLOOKUP(O44,Lookups!$M$10:$P$43,4,0)),"")</f>
        <v/>
      </c>
      <c r="Q44" s="142" t="s">
        <v>2010</v>
      </c>
      <c r="R44" s="15" t="s">
        <v>149</v>
      </c>
      <c r="S44" s="12" t="s">
        <v>3091</v>
      </c>
      <c r="T44" s="15"/>
      <c r="U44" s="100"/>
    </row>
    <row r="45" spans="1:21" s="47" customFormat="1" ht="60" hidden="1" customHeight="1" outlineLevel="2" x14ac:dyDescent="0.25">
      <c r="A45" s="190" t="s">
        <v>234</v>
      </c>
      <c r="B45" s="190" t="s">
        <v>699</v>
      </c>
      <c r="C45" s="190" t="s">
        <v>2004</v>
      </c>
      <c r="D45" s="191" t="s">
        <v>2011</v>
      </c>
      <c r="E45" s="12" t="s">
        <v>165</v>
      </c>
      <c r="F45" s="12" t="s">
        <v>210</v>
      </c>
      <c r="G45" s="4" t="s">
        <v>150</v>
      </c>
      <c r="H45" s="46">
        <v>109.75</v>
      </c>
      <c r="I45" s="15" t="s">
        <v>196</v>
      </c>
      <c r="J45" s="17">
        <f>IF(H45&gt;0,(H45*VLOOKUP(Lookups!$K$11,Lookups!$M$10:$P$43,4,0)/VLOOKUP(I45,Lookups!$M$10:$P$43,4,0)),"")</f>
        <v>139.95122672883664</v>
      </c>
      <c r="K45" s="46"/>
      <c r="L45" s="15"/>
      <c r="M45" s="17" t="str">
        <f>IF(K45&gt;0,(K45*VLOOKUP(Lookups!$K$11,Lookups!$M$10:$P$43,4,0)/VLOOKUP(L45,Lookups!$M$10:$P$43,4,0)),"")</f>
        <v/>
      </c>
      <c r="N45" s="46"/>
      <c r="O45" s="15"/>
      <c r="P45" s="17" t="str">
        <f>IF(N45&gt;0,(N45*VLOOKUP(Lookups!$K$11,Lookups!$M$10:$P$43,4,0)/VLOOKUP(O45,Lookups!$M$10:$P$43,4,0)),"")</f>
        <v/>
      </c>
      <c r="Q45" s="142" t="s">
        <v>2010</v>
      </c>
      <c r="R45" s="15" t="s">
        <v>149</v>
      </c>
      <c r="S45" s="12" t="s">
        <v>3092</v>
      </c>
      <c r="T45" s="15"/>
      <c r="U45" s="100"/>
    </row>
    <row r="46" spans="1:21" s="47" customFormat="1" ht="60" hidden="1" customHeight="1" outlineLevel="2" x14ac:dyDescent="0.25">
      <c r="A46" s="190" t="s">
        <v>234</v>
      </c>
      <c r="B46" s="190" t="s">
        <v>699</v>
      </c>
      <c r="C46" s="190" t="s">
        <v>2005</v>
      </c>
      <c r="D46" s="191" t="s">
        <v>2012</v>
      </c>
      <c r="E46" s="12" t="s">
        <v>165</v>
      </c>
      <c r="F46" s="12" t="s">
        <v>210</v>
      </c>
      <c r="G46" s="4" t="s">
        <v>150</v>
      </c>
      <c r="H46" s="46">
        <v>197.72</v>
      </c>
      <c r="I46" s="15" t="s">
        <v>196</v>
      </c>
      <c r="J46" s="17">
        <f>IF(H46&gt;0,(H46*VLOOKUP(Lookups!$K$11,Lookups!$M$10:$P$43,4,0)/VLOOKUP(I46,Lookups!$M$10:$P$43,4,0)),"")</f>
        <v>252.12898905535835</v>
      </c>
      <c r="K46" s="46"/>
      <c r="L46" s="15"/>
      <c r="M46" s="17" t="str">
        <f>IF(K46&gt;0,(K46*VLOOKUP(Lookups!$K$11,Lookups!$M$10:$P$43,4,0)/VLOOKUP(L46,Lookups!$M$10:$P$43,4,0)),"")</f>
        <v/>
      </c>
      <c r="N46" s="46"/>
      <c r="O46" s="15"/>
      <c r="P46" s="17" t="str">
        <f>IF(N46&gt;0,(N46*VLOOKUP(Lookups!$K$11,Lookups!$M$10:$P$43,4,0)/VLOOKUP(O46,Lookups!$M$10:$P$43,4,0)),"")</f>
        <v/>
      </c>
      <c r="Q46" s="142" t="s">
        <v>2010</v>
      </c>
      <c r="R46" s="15" t="s">
        <v>149</v>
      </c>
      <c r="S46" s="12" t="s">
        <v>3093</v>
      </c>
      <c r="T46" s="15"/>
      <c r="U46" s="100"/>
    </row>
    <row r="47" spans="1:21" s="47" customFormat="1" ht="60" hidden="1" customHeight="1" outlineLevel="2" x14ac:dyDescent="0.25">
      <c r="A47" s="190" t="s">
        <v>234</v>
      </c>
      <c r="B47" s="190" t="s">
        <v>699</v>
      </c>
      <c r="C47" s="190" t="s">
        <v>2006</v>
      </c>
      <c r="D47" s="191" t="s">
        <v>2013</v>
      </c>
      <c r="E47" s="12" t="s">
        <v>165</v>
      </c>
      <c r="F47" s="12" t="s">
        <v>210</v>
      </c>
      <c r="G47" s="4" t="s">
        <v>150</v>
      </c>
      <c r="H47" s="46">
        <v>271.31</v>
      </c>
      <c r="I47" s="15" t="s">
        <v>196</v>
      </c>
      <c r="J47" s="17">
        <f>IF(H47&gt;0,(H47*VLOOKUP(Lookups!$K$11,Lookups!$M$10:$P$43,4,0)/VLOOKUP(I47,Lookups!$M$10:$P$43,4,0)),"")</f>
        <v>345.96963392984662</v>
      </c>
      <c r="K47" s="46"/>
      <c r="L47" s="15"/>
      <c r="M47" s="17" t="str">
        <f>IF(K47&gt;0,(K47*VLOOKUP(Lookups!$K$11,Lookups!$M$10:$P$43,4,0)/VLOOKUP(L47,Lookups!$M$10:$P$43,4,0)),"")</f>
        <v/>
      </c>
      <c r="N47" s="46"/>
      <c r="O47" s="15"/>
      <c r="P47" s="17" t="str">
        <f>IF(N47&gt;0,(N47*VLOOKUP(Lookups!$K$11,Lookups!$M$10:$P$43,4,0)/VLOOKUP(O47,Lookups!$M$10:$P$43,4,0)),"")</f>
        <v/>
      </c>
      <c r="Q47" s="142" t="s">
        <v>2010</v>
      </c>
      <c r="R47" s="15" t="s">
        <v>149</v>
      </c>
      <c r="S47" s="12" t="s">
        <v>3094</v>
      </c>
      <c r="T47" s="15"/>
      <c r="U47" s="100"/>
    </row>
    <row r="48" spans="1:21" s="47" customFormat="1" ht="60" hidden="1" customHeight="1" outlineLevel="2" x14ac:dyDescent="0.25">
      <c r="A48" s="190" t="s">
        <v>234</v>
      </c>
      <c r="B48" s="190" t="s">
        <v>699</v>
      </c>
      <c r="C48" s="190" t="s">
        <v>2007</v>
      </c>
      <c r="D48" s="191" t="s">
        <v>2014</v>
      </c>
      <c r="E48" s="12" t="s">
        <v>165</v>
      </c>
      <c r="F48" s="12" t="s">
        <v>210</v>
      </c>
      <c r="G48" s="4" t="s">
        <v>150</v>
      </c>
      <c r="H48" s="46">
        <v>421.91</v>
      </c>
      <c r="I48" s="15" t="s">
        <v>196</v>
      </c>
      <c r="J48" s="17">
        <f>IF(H48&gt;0,(H48*VLOOKUP(Lookups!$K$11,Lookups!$M$10:$P$43,4,0)/VLOOKUP(I48,Lookups!$M$10:$P$43,4,0)),"")</f>
        <v>538.01204618827762</v>
      </c>
      <c r="K48" s="46"/>
      <c r="L48" s="15"/>
      <c r="M48" s="17" t="str">
        <f>IF(K48&gt;0,(K48*VLOOKUP(Lookups!$K$11,Lookups!$M$10:$P$43,4,0)/VLOOKUP(L48,Lookups!$M$10:$P$43,4,0)),"")</f>
        <v/>
      </c>
      <c r="N48" s="46"/>
      <c r="O48" s="15"/>
      <c r="P48" s="17" t="str">
        <f>IF(N48&gt;0,(N48*VLOOKUP(Lookups!$K$11,Lookups!$M$10:$P$43,4,0)/VLOOKUP(O48,Lookups!$M$10:$P$43,4,0)),"")</f>
        <v/>
      </c>
      <c r="Q48" s="142" t="s">
        <v>2010</v>
      </c>
      <c r="R48" s="15" t="s">
        <v>149</v>
      </c>
      <c r="S48" s="12" t="s">
        <v>3095</v>
      </c>
      <c r="T48" s="15"/>
      <c r="U48" s="100"/>
    </row>
    <row r="49" spans="1:21" s="47" customFormat="1" ht="60" hidden="1" customHeight="1" outlineLevel="2" x14ac:dyDescent="0.25">
      <c r="A49" s="190" t="s">
        <v>234</v>
      </c>
      <c r="B49" s="190" t="s">
        <v>699</v>
      </c>
      <c r="C49" s="190" t="s">
        <v>2008</v>
      </c>
      <c r="D49" s="191" t="s">
        <v>2015</v>
      </c>
      <c r="E49" s="12" t="s">
        <v>165</v>
      </c>
      <c r="F49" s="12" t="s">
        <v>210</v>
      </c>
      <c r="G49" s="4" t="s">
        <v>150</v>
      </c>
      <c r="H49" s="46">
        <v>204.82</v>
      </c>
      <c r="I49" s="15" t="s">
        <v>196</v>
      </c>
      <c r="J49" s="17">
        <f>IF(H49&gt;0,(H49*VLOOKUP(Lookups!$K$11,Lookups!$M$10:$P$43,4,0)/VLOOKUP(I49,Lookups!$M$10:$P$43,4,0)),"")</f>
        <v>261.18278139954737</v>
      </c>
      <c r="K49" s="46"/>
      <c r="L49" s="15"/>
      <c r="M49" s="17" t="str">
        <f>IF(K49&gt;0,(K49*VLOOKUP(Lookups!$K$11,Lookups!$M$10:$P$43,4,0)/VLOOKUP(L49,Lookups!$M$10:$P$43,4,0)),"")</f>
        <v/>
      </c>
      <c r="N49" s="46"/>
      <c r="O49" s="15"/>
      <c r="P49" s="17" t="str">
        <f>IF(N49&gt;0,(N49*VLOOKUP(Lookups!$K$11,Lookups!$M$10:$P$43,4,0)/VLOOKUP(O49,Lookups!$M$10:$P$43,4,0)),"")</f>
        <v/>
      </c>
      <c r="Q49" s="142" t="s">
        <v>2010</v>
      </c>
      <c r="R49" s="15" t="s">
        <v>149</v>
      </c>
      <c r="S49" s="12" t="s">
        <v>3096</v>
      </c>
      <c r="T49" s="15"/>
      <c r="U49" s="100"/>
    </row>
    <row r="50" spans="1:21" s="47" customFormat="1" ht="60" hidden="1" customHeight="1" outlineLevel="2" x14ac:dyDescent="0.25">
      <c r="A50" s="190" t="s">
        <v>234</v>
      </c>
      <c r="B50" s="190" t="s">
        <v>699</v>
      </c>
      <c r="C50" s="190" t="s">
        <v>2009</v>
      </c>
      <c r="D50" s="191" t="s">
        <v>2016</v>
      </c>
      <c r="E50" s="12" t="s">
        <v>165</v>
      </c>
      <c r="F50" s="12" t="s">
        <v>210</v>
      </c>
      <c r="G50" s="4" t="s">
        <v>150</v>
      </c>
      <c r="H50" s="46">
        <v>514.28</v>
      </c>
      <c r="I50" s="15" t="s">
        <v>196</v>
      </c>
      <c r="J50" s="17">
        <f>IF(H50&gt;0,(H50*VLOOKUP(Lookups!$K$11,Lookups!$M$10:$P$43,4,0)/VLOOKUP(I50,Lookups!$M$10:$P$43,4,0)),"")</f>
        <v>655.80060940415592</v>
      </c>
      <c r="K50" s="46"/>
      <c r="L50" s="15"/>
      <c r="M50" s="17" t="str">
        <f>IF(K50&gt;0,(K50*VLOOKUP(Lookups!$K$11,Lookups!$M$10:$P$43,4,0)/VLOOKUP(L50,Lookups!$M$10:$P$43,4,0)),"")</f>
        <v/>
      </c>
      <c r="N50" s="46"/>
      <c r="O50" s="15"/>
      <c r="P50" s="17" t="str">
        <f>IF(N50&gt;0,(N50*VLOOKUP(Lookups!$K$11,Lookups!$M$10:$P$43,4,0)/VLOOKUP(O50,Lookups!$M$10:$P$43,4,0)),"")</f>
        <v/>
      </c>
      <c r="Q50" s="142" t="s">
        <v>2010</v>
      </c>
      <c r="R50" s="15" t="s">
        <v>149</v>
      </c>
      <c r="S50" s="12" t="s">
        <v>3097</v>
      </c>
      <c r="T50" s="15"/>
      <c r="U50" s="100"/>
    </row>
    <row r="51" spans="1:21" s="47" customFormat="1" ht="60" hidden="1" customHeight="1" outlineLevel="2" x14ac:dyDescent="0.25">
      <c r="A51" s="12" t="s">
        <v>234</v>
      </c>
      <c r="B51" s="12" t="s">
        <v>699</v>
      </c>
      <c r="C51" s="34" t="s">
        <v>751</v>
      </c>
      <c r="D51" s="44" t="s">
        <v>1222</v>
      </c>
      <c r="E51" s="12" t="s">
        <v>666</v>
      </c>
      <c r="F51" s="12" t="s">
        <v>210</v>
      </c>
      <c r="G51" s="4" t="s">
        <v>150</v>
      </c>
      <c r="H51" s="46">
        <v>195</v>
      </c>
      <c r="I51" s="15" t="s">
        <v>194</v>
      </c>
      <c r="J51" s="17">
        <f>IF(H51&gt;0,(H51*VLOOKUP(Lookups!$K$11,Lookups!$M$10:$P$43,4,0)/VLOOKUP(I51,Lookups!$M$10:$P$43,4,0)),"")</f>
        <v>256.77956366999746</v>
      </c>
      <c r="K51" s="46"/>
      <c r="L51" s="15"/>
      <c r="M51" s="17" t="str">
        <f>IF(K51&gt;0,(K51*VLOOKUP(Lookups!$K$11,Lookups!$M$10:$P$43,4,0)/VLOOKUP(L51,Lookups!$M$10:$P$43,4,0)),"")</f>
        <v/>
      </c>
      <c r="N51" s="46"/>
      <c r="O51" s="15"/>
      <c r="P51" s="17" t="str">
        <f>IF(N51&gt;0,(N51*VLOOKUP(Lookups!$K$11,Lookups!$M$10:$P$43,4,0)/VLOOKUP(O51,Lookups!$M$10:$P$43,4,0)),"")</f>
        <v/>
      </c>
      <c r="Q51" s="82" t="s">
        <v>326</v>
      </c>
      <c r="R51" s="15" t="s">
        <v>149</v>
      </c>
      <c r="S51" s="12" t="s">
        <v>1218</v>
      </c>
      <c r="T51" s="15"/>
      <c r="U51" s="100"/>
    </row>
    <row r="52" spans="1:21" s="47" customFormat="1" ht="60" hidden="1" customHeight="1" outlineLevel="2" x14ac:dyDescent="0.25">
      <c r="A52" s="12" t="s">
        <v>234</v>
      </c>
      <c r="B52" s="12" t="s">
        <v>699</v>
      </c>
      <c r="C52" s="34" t="s">
        <v>752</v>
      </c>
      <c r="D52" s="44" t="s">
        <v>1223</v>
      </c>
      <c r="E52" s="12" t="s">
        <v>666</v>
      </c>
      <c r="F52" s="12" t="s">
        <v>210</v>
      </c>
      <c r="G52" s="4" t="s">
        <v>150</v>
      </c>
      <c r="H52" s="46">
        <v>585</v>
      </c>
      <c r="I52" s="15" t="s">
        <v>194</v>
      </c>
      <c r="J52" s="17">
        <f>IF(H52&gt;0,(H52*VLOOKUP(Lookups!$K$11,Lookups!$M$10:$P$43,4,0)/VLOOKUP(I52,Lookups!$M$10:$P$43,4,0)),"")</f>
        <v>770.33869100999243</v>
      </c>
      <c r="K52" s="46"/>
      <c r="L52" s="15"/>
      <c r="M52" s="17" t="str">
        <f>IF(K52&gt;0,(K52*VLOOKUP(Lookups!$K$11,Lookups!$M$10:$P$43,4,0)/VLOOKUP(L52,Lookups!$M$10:$P$43,4,0)),"")</f>
        <v/>
      </c>
      <c r="N52" s="46"/>
      <c r="O52" s="15"/>
      <c r="P52" s="17" t="str">
        <f>IF(N52&gt;0,(N52*VLOOKUP(Lookups!$K$11,Lookups!$M$10:$P$43,4,0)/VLOOKUP(O52,Lookups!$M$10:$P$43,4,0)),"")</f>
        <v/>
      </c>
      <c r="Q52" s="82" t="s">
        <v>326</v>
      </c>
      <c r="R52" s="15" t="s">
        <v>149</v>
      </c>
      <c r="S52" s="12" t="s">
        <v>1228</v>
      </c>
      <c r="T52" s="15"/>
      <c r="U52" s="100"/>
    </row>
    <row r="53" spans="1:21" s="47" customFormat="1" ht="60" hidden="1" customHeight="1" outlineLevel="2" x14ac:dyDescent="0.25">
      <c r="A53" s="12" t="s">
        <v>234</v>
      </c>
      <c r="B53" s="12" t="s">
        <v>699</v>
      </c>
      <c r="C53" s="34" t="s">
        <v>753</v>
      </c>
      <c r="D53" s="44" t="s">
        <v>1224</v>
      </c>
      <c r="E53" s="12" t="s">
        <v>666</v>
      </c>
      <c r="F53" s="12" t="s">
        <v>210</v>
      </c>
      <c r="G53" s="4" t="s">
        <v>150</v>
      </c>
      <c r="H53" s="46">
        <v>222</v>
      </c>
      <c r="I53" s="15" t="s">
        <v>194</v>
      </c>
      <c r="J53" s="17">
        <f>IF(H53&gt;0,(H53*VLOOKUP(Lookups!$K$11,Lookups!$M$10:$P$43,4,0)/VLOOKUP(I53,Lookups!$M$10:$P$43,4,0)),"")</f>
        <v>292.33365710122786</v>
      </c>
      <c r="K53" s="46"/>
      <c r="L53" s="15"/>
      <c r="M53" s="17" t="str">
        <f>IF(K53&gt;0,(K53*VLOOKUP(Lookups!$K$11,Lookups!$M$10:$P$43,4,0)/VLOOKUP(L53,Lookups!$M$10:$P$43,4,0)),"")</f>
        <v/>
      </c>
      <c r="N53" s="46"/>
      <c r="O53" s="15"/>
      <c r="P53" s="17" t="str">
        <f>IF(N53&gt;0,(N53*VLOOKUP(Lookups!$K$11,Lookups!$M$10:$P$43,4,0)/VLOOKUP(O53,Lookups!$M$10:$P$43,4,0)),"")</f>
        <v/>
      </c>
      <c r="Q53" s="82" t="s">
        <v>326</v>
      </c>
      <c r="R53" s="15" t="s">
        <v>149</v>
      </c>
      <c r="S53" s="12" t="s">
        <v>1229</v>
      </c>
      <c r="T53" s="15"/>
      <c r="U53" s="100"/>
    </row>
    <row r="54" spans="1:21" s="47" customFormat="1" ht="60" hidden="1" customHeight="1" outlineLevel="2" x14ac:dyDescent="0.25">
      <c r="A54" s="12" t="s">
        <v>234</v>
      </c>
      <c r="B54" s="12" t="s">
        <v>699</v>
      </c>
      <c r="C54" s="34" t="s">
        <v>754</v>
      </c>
      <c r="D54" s="44" t="s">
        <v>1225</v>
      </c>
      <c r="E54" s="12" t="s">
        <v>666</v>
      </c>
      <c r="F54" s="12" t="s">
        <v>210</v>
      </c>
      <c r="G54" s="4" t="s">
        <v>150</v>
      </c>
      <c r="H54" s="46">
        <v>511</v>
      </c>
      <c r="I54" s="15" t="s">
        <v>194</v>
      </c>
      <c r="J54" s="17">
        <f>IF(H54&gt;0,(H54*VLOOKUP(Lookups!$K$11,Lookups!$M$10:$P$43,4,0)/VLOOKUP(I54,Lookups!$M$10:$P$43,4,0)),"")</f>
        <v>672.89413864291646</v>
      </c>
      <c r="K54" s="46"/>
      <c r="L54" s="15"/>
      <c r="M54" s="17" t="str">
        <f>IF(K54&gt;0,(K54*VLOOKUP(Lookups!$K$11,Lookups!$M$10:$P$43,4,0)/VLOOKUP(L54,Lookups!$M$10:$P$43,4,0)),"")</f>
        <v/>
      </c>
      <c r="N54" s="46"/>
      <c r="O54" s="15"/>
      <c r="P54" s="17" t="str">
        <f>IF(N54&gt;0,(N54*VLOOKUP(Lookups!$K$11,Lookups!$M$10:$P$43,4,0)/VLOOKUP(O54,Lookups!$M$10:$P$43,4,0)),"")</f>
        <v/>
      </c>
      <c r="Q54" s="82" t="s">
        <v>326</v>
      </c>
      <c r="R54" s="15" t="s">
        <v>149</v>
      </c>
      <c r="S54" s="12" t="s">
        <v>1230</v>
      </c>
      <c r="T54" s="15"/>
      <c r="U54" s="100"/>
    </row>
    <row r="55" spans="1:21" s="47" customFormat="1" ht="60" hidden="1" customHeight="1" outlineLevel="2" x14ac:dyDescent="0.25">
      <c r="A55" s="12" t="s">
        <v>234</v>
      </c>
      <c r="B55" s="12" t="s">
        <v>699</v>
      </c>
      <c r="C55" s="34" t="s">
        <v>755</v>
      </c>
      <c r="D55" s="44" t="s">
        <v>1226</v>
      </c>
      <c r="E55" s="12" t="s">
        <v>666</v>
      </c>
      <c r="F55" s="12" t="s">
        <v>210</v>
      </c>
      <c r="G55" s="4" t="s">
        <v>150</v>
      </c>
      <c r="H55" s="46">
        <v>2238</v>
      </c>
      <c r="I55" s="15" t="s">
        <v>194</v>
      </c>
      <c r="J55" s="17">
        <f>IF(H55&gt;0,(H55*VLOOKUP(Lookups!$K$11,Lookups!$M$10:$P$43,4,0)/VLOOKUP(I55,Lookups!$M$10:$P$43,4,0)),"")</f>
        <v>2947.0392999664327</v>
      </c>
      <c r="K55" s="46"/>
      <c r="L55" s="15"/>
      <c r="M55" s="17" t="str">
        <f>IF(K55&gt;0,(K55*VLOOKUP(Lookups!$K$11,Lookups!$M$10:$P$43,4,0)/VLOOKUP(L55,Lookups!$M$10:$P$43,4,0)),"")</f>
        <v/>
      </c>
      <c r="N55" s="46"/>
      <c r="O55" s="15"/>
      <c r="P55" s="17" t="str">
        <f>IF(N55&gt;0,(N55*VLOOKUP(Lookups!$K$11,Lookups!$M$10:$P$43,4,0)/VLOOKUP(O55,Lookups!$M$10:$P$43,4,0)),"")</f>
        <v/>
      </c>
      <c r="Q55" s="82" t="s">
        <v>326</v>
      </c>
      <c r="R55" s="15" t="s">
        <v>149</v>
      </c>
      <c r="S55" s="12" t="s">
        <v>1231</v>
      </c>
      <c r="T55" s="15"/>
      <c r="U55" s="100"/>
    </row>
    <row r="56" spans="1:21" s="53" customFormat="1" ht="60" hidden="1" customHeight="1" outlineLevel="1" x14ac:dyDescent="0.25">
      <c r="A56" s="50" t="s">
        <v>234</v>
      </c>
      <c r="B56" s="50" t="s">
        <v>633</v>
      </c>
      <c r="C56" s="42" t="s">
        <v>2153</v>
      </c>
      <c r="D56" s="42" t="s">
        <v>2079</v>
      </c>
      <c r="E56" s="12" t="s">
        <v>170</v>
      </c>
      <c r="F56" s="12" t="s">
        <v>210</v>
      </c>
      <c r="G56" s="4" t="s">
        <v>150</v>
      </c>
      <c r="H56" s="14">
        <v>693.25</v>
      </c>
      <c r="I56" s="15" t="s">
        <v>257</v>
      </c>
      <c r="J56" s="17">
        <f>IF(H56&gt;0,(H56*VLOOKUP(Lookups!$K$11,Lookups!$M$10:$P$43,4,0)/VLOOKUP(I56,Lookups!$M$10:$P$43,4,0)),"")</f>
        <v>819.9451532580922</v>
      </c>
      <c r="K56" s="14"/>
      <c r="L56" s="15"/>
      <c r="M56" s="17" t="str">
        <f>IF(K56&gt;0,(K56*VLOOKUP(Lookups!$K$11,Lookups!$M$10:$P$43,4,0)/VLOOKUP(L56,Lookups!$M$10:$P$43,4,0)),"")</f>
        <v/>
      </c>
      <c r="N56" s="14"/>
      <c r="O56" s="15"/>
      <c r="P56" s="17" t="str">
        <f>IF(N56&gt;0,(N56*VLOOKUP(Lookups!$K$11,Lookups!$M$10:$P$43,4,0)/VLOOKUP(O56,Lookups!$M$10:$P$43,4,0)),"")</f>
        <v/>
      </c>
      <c r="Q56" s="249" t="s">
        <v>2180</v>
      </c>
      <c r="R56" s="15" t="s">
        <v>152</v>
      </c>
      <c r="S56" s="12" t="s">
        <v>2181</v>
      </c>
      <c r="T56" s="176"/>
      <c r="U56" s="4"/>
    </row>
    <row r="57" spans="1:21" s="54" customFormat="1" ht="60" customHeight="1" collapsed="1" x14ac:dyDescent="0.25">
      <c r="A57" s="38" t="s">
        <v>234</v>
      </c>
      <c r="B57" s="38" t="s">
        <v>531</v>
      </c>
      <c r="C57" s="38" t="s">
        <v>2154</v>
      </c>
      <c r="D57" s="106" t="s">
        <v>533</v>
      </c>
      <c r="E57" s="12" t="s">
        <v>164</v>
      </c>
      <c r="F57" s="12" t="s">
        <v>210</v>
      </c>
      <c r="G57" s="34" t="s">
        <v>1943</v>
      </c>
      <c r="H57" s="172">
        <f>((736.04/3)*2)</f>
        <v>490.69333333333333</v>
      </c>
      <c r="I57" s="15" t="s">
        <v>1520</v>
      </c>
      <c r="J57" s="17">
        <f>IF(H57&gt;0,(H57*VLOOKUP(Lookups!$K$11,Lookups!$M$10:$P$43,4,0)/VLOOKUP(I57,Lookups!$M$10:$P$43,4,0)),"")</f>
        <v>505.37636081284523</v>
      </c>
      <c r="K57" s="172">
        <f>736.04/3</f>
        <v>245.34666666666666</v>
      </c>
      <c r="L57" s="15" t="s">
        <v>1520</v>
      </c>
      <c r="M57" s="17">
        <f>IF(K57&gt;0,(K57*VLOOKUP(Lookups!$K$11,Lookups!$M$10:$P$43,4,0)/VLOOKUP(L57,Lookups!$M$10:$P$43,4,0)),"")</f>
        <v>252.68818040642262</v>
      </c>
      <c r="N57" s="14"/>
      <c r="O57" s="15"/>
      <c r="P57" s="17" t="str">
        <f>IF(N57&gt;0,(N57*VLOOKUP(Lookups!$K$11,Lookups!$M$10:$P$43,4,0)/VLOOKUP(O57,Lookups!$M$10:$P$43,4,0)),"")</f>
        <v/>
      </c>
      <c r="Q57" s="173" t="s">
        <v>2699</v>
      </c>
      <c r="R57" s="15" t="s">
        <v>152</v>
      </c>
      <c r="S57" s="107" t="s">
        <v>2691</v>
      </c>
      <c r="T57" s="134" t="s">
        <v>923</v>
      </c>
      <c r="U57" s="4" t="s">
        <v>2690</v>
      </c>
    </row>
    <row r="58" spans="1:21" s="54" customFormat="1" ht="60" hidden="1" customHeight="1" outlineLevel="1" collapsed="1" x14ac:dyDescent="0.25">
      <c r="A58" s="50" t="s">
        <v>234</v>
      </c>
      <c r="B58" s="50" t="s">
        <v>531</v>
      </c>
      <c r="C58" s="42" t="s">
        <v>2080</v>
      </c>
      <c r="D58" s="42" t="s">
        <v>2108</v>
      </c>
      <c r="E58" s="12" t="s">
        <v>164</v>
      </c>
      <c r="F58" s="12" t="s">
        <v>210</v>
      </c>
      <c r="G58" s="34" t="s">
        <v>1943</v>
      </c>
      <c r="H58" s="172">
        <f>SUM(H59:H61)</f>
        <v>970</v>
      </c>
      <c r="I58" s="15" t="s">
        <v>1520</v>
      </c>
      <c r="J58" s="17">
        <f>IF(H58&gt;0,(H58*VLOOKUP(Lookups!$K$11,Lookups!$M$10:$P$43,4,0)/VLOOKUP(I58,Lookups!$M$10:$P$43,4,0)),"")</f>
        <v>999.02533148020461</v>
      </c>
      <c r="K58" s="172">
        <f>K61</f>
        <v>411</v>
      </c>
      <c r="L58" s="15" t="s">
        <v>1520</v>
      </c>
      <c r="M58" s="17">
        <f>IF(K58&gt;0,(K58*VLOOKUP(Lookups!$K$11,Lookups!$M$10:$P$43,4,0)/VLOOKUP(L58,Lookups!$M$10:$P$43,4,0)),"")</f>
        <v>423.29836210140627</v>
      </c>
      <c r="N58" s="103"/>
      <c r="O58" s="15"/>
      <c r="P58" s="17" t="str">
        <f>IF(N58&gt;0,(N58*VLOOKUP(Lookups!$K$11,Lookups!$M$10:$P$43,4,0)/VLOOKUP(O58,Lookups!$M$10:$P$43,4,0)),"")</f>
        <v/>
      </c>
      <c r="Q58" s="173" t="s">
        <v>2795</v>
      </c>
      <c r="R58" s="15" t="s">
        <v>152</v>
      </c>
      <c r="S58" s="174" t="s">
        <v>2796</v>
      </c>
      <c r="T58" s="134" t="s">
        <v>923</v>
      </c>
      <c r="U58" s="4" t="s">
        <v>2434</v>
      </c>
    </row>
    <row r="59" spans="1:21" s="54" customFormat="1" ht="60" hidden="1" customHeight="1" outlineLevel="2" x14ac:dyDescent="0.25">
      <c r="A59" s="12" t="s">
        <v>234</v>
      </c>
      <c r="B59" s="12" t="s">
        <v>531</v>
      </c>
      <c r="C59" s="12" t="s">
        <v>2168</v>
      </c>
      <c r="D59" s="44" t="s">
        <v>1932</v>
      </c>
      <c r="E59" s="12" t="s">
        <v>164</v>
      </c>
      <c r="F59" s="12" t="s">
        <v>210</v>
      </c>
      <c r="G59" s="34" t="s">
        <v>1943</v>
      </c>
      <c r="H59" s="172">
        <v>120</v>
      </c>
      <c r="I59" s="15" t="s">
        <v>1520</v>
      </c>
      <c r="J59" s="17">
        <f>IF(H59&gt;0,(H59*VLOOKUP(Lookups!$K$11,Lookups!$M$10:$P$43,4,0)/VLOOKUP(I59,Lookups!$M$10:$P$43,4,0)),"")</f>
        <v>123.59076265734491</v>
      </c>
      <c r="K59" s="102"/>
      <c r="L59" s="15"/>
      <c r="M59" s="17" t="str">
        <f>IF(K59&gt;0,(K59*VLOOKUP(Lookups!$K$11,Lookups!$M$10:$P$43,4,0)/VLOOKUP(L59,Lookups!$M$10:$P$43,4,0)),"")</f>
        <v/>
      </c>
      <c r="N59" s="14"/>
      <c r="O59" s="15"/>
      <c r="P59" s="17" t="str">
        <f>IF(N59&gt;0,(N59*VLOOKUP(Lookups!$K$11,Lookups!$M$10:$P$43,4,0)/VLOOKUP(O59,Lookups!$M$10:$P$43,4,0)),"")</f>
        <v/>
      </c>
      <c r="Q59" s="173" t="s">
        <v>2795</v>
      </c>
      <c r="R59" s="15" t="s">
        <v>152</v>
      </c>
      <c r="S59" s="174" t="s">
        <v>2798</v>
      </c>
      <c r="T59" s="134" t="s">
        <v>923</v>
      </c>
      <c r="U59" s="4" t="s">
        <v>2434</v>
      </c>
    </row>
    <row r="60" spans="1:21" s="54" customFormat="1" ht="60" hidden="1" customHeight="1" outlineLevel="2" x14ac:dyDescent="0.25">
      <c r="A60" s="12" t="s">
        <v>234</v>
      </c>
      <c r="B60" s="12" t="s">
        <v>531</v>
      </c>
      <c r="C60" s="12" t="s">
        <v>2169</v>
      </c>
      <c r="D60" s="44" t="s">
        <v>1933</v>
      </c>
      <c r="E60" s="12" t="s">
        <v>164</v>
      </c>
      <c r="F60" s="12" t="s">
        <v>210</v>
      </c>
      <c r="G60" s="34" t="s">
        <v>1943</v>
      </c>
      <c r="H60" s="172">
        <v>28</v>
      </c>
      <c r="I60" s="15" t="s">
        <v>1520</v>
      </c>
      <c r="J60" s="17">
        <f>IF(H60&gt;0,(H60*VLOOKUP(Lookups!$K$11,Lookups!$M$10:$P$43,4,0)/VLOOKUP(I60,Lookups!$M$10:$P$43,4,0)),"")</f>
        <v>28.837844620047143</v>
      </c>
      <c r="K60" s="14"/>
      <c r="L60" s="15"/>
      <c r="M60" s="17" t="str">
        <f>IF(K60&gt;0,(K60*VLOOKUP(Lookups!$K$11,Lookups!$M$10:$P$43,4,0)/VLOOKUP(L60,Lookups!$M$10:$P$43,4,0)),"")</f>
        <v/>
      </c>
      <c r="N60" s="14"/>
      <c r="O60" s="15"/>
      <c r="P60" s="17" t="str">
        <f>IF(N60&gt;0,(N60*VLOOKUP(Lookups!$K$11,Lookups!$M$10:$P$43,4,0)/VLOOKUP(O60,Lookups!$M$10:$P$43,4,0)),"")</f>
        <v/>
      </c>
      <c r="Q60" s="173" t="s">
        <v>2795</v>
      </c>
      <c r="R60" s="15" t="s">
        <v>152</v>
      </c>
      <c r="S60" s="174" t="s">
        <v>2799</v>
      </c>
      <c r="T60" s="134" t="s">
        <v>923</v>
      </c>
      <c r="U60" s="4" t="s">
        <v>2434</v>
      </c>
    </row>
    <row r="61" spans="1:21" s="54" customFormat="1" ht="60" hidden="1" customHeight="1" outlineLevel="2" x14ac:dyDescent="0.25">
      <c r="A61" s="12" t="s">
        <v>234</v>
      </c>
      <c r="B61" s="12" t="s">
        <v>531</v>
      </c>
      <c r="C61" s="12" t="s">
        <v>2170</v>
      </c>
      <c r="D61" s="44" t="s">
        <v>1934</v>
      </c>
      <c r="E61" s="12" t="s">
        <v>164</v>
      </c>
      <c r="F61" s="12" t="s">
        <v>210</v>
      </c>
      <c r="G61" s="34" t="s">
        <v>1943</v>
      </c>
      <c r="H61" s="172">
        <f>(1233/3)*2</f>
        <v>822</v>
      </c>
      <c r="I61" s="15" t="s">
        <v>1520</v>
      </c>
      <c r="J61" s="17">
        <f>IF(H61&gt;0,(H61*VLOOKUP(Lookups!$K$11,Lookups!$M$10:$P$43,4,0)/VLOOKUP(I61,Lookups!$M$10:$P$43,4,0)),"")</f>
        <v>846.59672420281254</v>
      </c>
      <c r="K61" s="172">
        <f>1233/3</f>
        <v>411</v>
      </c>
      <c r="L61" s="15" t="s">
        <v>1520</v>
      </c>
      <c r="M61" s="17">
        <f>IF(K61&gt;0,(K61*VLOOKUP(Lookups!$K$11,Lookups!$M$10:$P$43,4,0)/VLOOKUP(L61,Lookups!$M$10:$P$43,4,0)),"")</f>
        <v>423.29836210140627</v>
      </c>
      <c r="N61" s="14"/>
      <c r="O61" s="15"/>
      <c r="P61" s="17" t="str">
        <f>IF(N61&gt;0,(N61*VLOOKUP(Lookups!$K$11,Lookups!$M$10:$P$43,4,0)/VLOOKUP(O61,Lookups!$M$10:$P$43,4,0)),"")</f>
        <v/>
      </c>
      <c r="Q61" s="173" t="s">
        <v>2795</v>
      </c>
      <c r="R61" s="15" t="s">
        <v>152</v>
      </c>
      <c r="S61" s="174" t="s">
        <v>2797</v>
      </c>
      <c r="T61" s="134" t="s">
        <v>923</v>
      </c>
      <c r="U61" s="4" t="s">
        <v>2434</v>
      </c>
    </row>
    <row r="62" spans="1:21" s="54" customFormat="1" ht="60" customHeight="1" collapsed="1" x14ac:dyDescent="0.25">
      <c r="A62" s="38" t="s">
        <v>234</v>
      </c>
      <c r="B62" s="38" t="s">
        <v>1768</v>
      </c>
      <c r="C62" s="38" t="s">
        <v>532</v>
      </c>
      <c r="D62" s="38" t="s">
        <v>1944</v>
      </c>
      <c r="E62" s="12" t="s">
        <v>164</v>
      </c>
      <c r="F62" s="12" t="s">
        <v>667</v>
      </c>
      <c r="G62" s="34" t="s">
        <v>1943</v>
      </c>
      <c r="H62" s="172">
        <f>(718.51/3)*2</f>
        <v>479.00666666666666</v>
      </c>
      <c r="I62" s="15" t="s">
        <v>1520</v>
      </c>
      <c r="J62" s="17">
        <f>IF(H62&gt;0,(H62*VLOOKUP(Lookups!$K$11,Lookups!$M$10:$P$43,4,0)/VLOOKUP(I62,Lookups!$M$10:$P$43,4,0)),"")</f>
        <v>493.33999376071603</v>
      </c>
      <c r="K62" s="14">
        <f>718.51/3</f>
        <v>239.50333333333333</v>
      </c>
      <c r="L62" s="15" t="s">
        <v>1520</v>
      </c>
      <c r="M62" s="17">
        <f>IF(K62&gt;0,(K62*VLOOKUP(Lookups!$K$11,Lookups!$M$10:$P$43,4,0)/VLOOKUP(L62,Lookups!$M$10:$P$43,4,0)),"")</f>
        <v>246.66999688035801</v>
      </c>
      <c r="N62" s="14"/>
      <c r="O62" s="15"/>
      <c r="P62" s="17" t="str">
        <f>IF(N62&gt;0,(N62*VLOOKUP(Lookups!$K$11,Lookups!$M$10:$P$43,4,0)/VLOOKUP(O62,Lookups!$M$10:$P$43,4,0)),"")</f>
        <v/>
      </c>
      <c r="Q62" s="173" t="s">
        <v>2678</v>
      </c>
      <c r="R62" s="15" t="s">
        <v>152</v>
      </c>
      <c r="S62" s="187" t="s">
        <v>2150</v>
      </c>
      <c r="T62" s="176" t="s">
        <v>923</v>
      </c>
      <c r="U62" s="4" t="s">
        <v>2697</v>
      </c>
    </row>
    <row r="63" spans="1:21" s="54" customFormat="1" ht="60" hidden="1" customHeight="1" outlineLevel="1" x14ac:dyDescent="0.25">
      <c r="A63" s="42" t="s">
        <v>234</v>
      </c>
      <c r="B63" s="42" t="s">
        <v>1768</v>
      </c>
      <c r="C63" s="42" t="s">
        <v>3065</v>
      </c>
      <c r="D63" s="42" t="s">
        <v>1945</v>
      </c>
      <c r="E63" s="12" t="s">
        <v>164</v>
      </c>
      <c r="F63" s="12" t="s">
        <v>210</v>
      </c>
      <c r="G63" s="34" t="s">
        <v>1943</v>
      </c>
      <c r="H63" s="172">
        <f>(774.69/3)*2</f>
        <v>516.46</v>
      </c>
      <c r="I63" s="15" t="s">
        <v>1520</v>
      </c>
      <c r="J63" s="17">
        <f>IF(H63&gt;0,(H63*VLOOKUP(Lookups!$K$11,Lookups!$M$10:$P$43,4,0)/VLOOKUP(I63,Lookups!$M$10:$P$43,4,0)),"")</f>
        <v>531.91404401676959</v>
      </c>
      <c r="K63" s="14">
        <f>774.69/3</f>
        <v>258.23</v>
      </c>
      <c r="L63" s="15" t="s">
        <v>1520</v>
      </c>
      <c r="M63" s="17">
        <f>IF(K63&gt;0,(K63*VLOOKUP(Lookups!$K$11,Lookups!$M$10:$P$43,4,0)/VLOOKUP(L63,Lookups!$M$10:$P$43,4,0)),"")</f>
        <v>265.9570220083848</v>
      </c>
      <c r="N63" s="14"/>
      <c r="O63" s="15"/>
      <c r="P63" s="17" t="str">
        <f>IF(N63&gt;0,(N63*VLOOKUP(Lookups!$K$11,Lookups!$M$10:$P$43,4,0)/VLOOKUP(O63,Lookups!$M$10:$P$43,4,0)),"")</f>
        <v/>
      </c>
      <c r="Q63" s="173" t="s">
        <v>2678</v>
      </c>
      <c r="R63" s="15" t="s">
        <v>152</v>
      </c>
      <c r="S63" s="187" t="s">
        <v>2150</v>
      </c>
      <c r="T63" s="176" t="s">
        <v>923</v>
      </c>
      <c r="U63" s="4" t="s">
        <v>2697</v>
      </c>
    </row>
    <row r="64" spans="1:21" s="54" customFormat="1" ht="60" hidden="1" customHeight="1" outlineLevel="1" x14ac:dyDescent="0.25">
      <c r="A64" s="42" t="s">
        <v>234</v>
      </c>
      <c r="B64" s="42" t="s">
        <v>1768</v>
      </c>
      <c r="C64" s="42" t="s">
        <v>3066</v>
      </c>
      <c r="D64" s="42" t="s">
        <v>1946</v>
      </c>
      <c r="E64" s="12" t="s">
        <v>164</v>
      </c>
      <c r="F64" s="12" t="s">
        <v>210</v>
      </c>
      <c r="G64" s="34" t="s">
        <v>1943</v>
      </c>
      <c r="H64" s="172">
        <f>(1143.2/3)*2</f>
        <v>762.13333333333333</v>
      </c>
      <c r="I64" s="15" t="s">
        <v>1520</v>
      </c>
      <c r="J64" s="17">
        <f>IF(H64&gt;0,(H64*VLOOKUP(Lookups!$K$11,Lookups!$M$10:$P$43,4,0)/VLOOKUP(I64,Lookups!$M$10:$P$43,4,0)),"")</f>
        <v>784.93866594375947</v>
      </c>
      <c r="K64" s="14">
        <f>1143.2/3</f>
        <v>381.06666666666666</v>
      </c>
      <c r="L64" s="15" t="s">
        <v>1520</v>
      </c>
      <c r="M64" s="17">
        <f>IF(K64&gt;0,(K64*VLOOKUP(Lookups!$K$11,Lookups!$M$10:$P$43,4,0)/VLOOKUP(L64,Lookups!$M$10:$P$43,4,0)),"")</f>
        <v>392.46933297187974</v>
      </c>
      <c r="N64" s="14"/>
      <c r="O64" s="15"/>
      <c r="P64" s="17" t="str">
        <f>IF(N64&gt;0,(N64*VLOOKUP(Lookups!$K$11,Lookups!$M$10:$P$43,4,0)/VLOOKUP(O64,Lookups!$M$10:$P$43,4,0)),"")</f>
        <v/>
      </c>
      <c r="Q64" s="173" t="s">
        <v>2698</v>
      </c>
      <c r="R64" s="15" t="s">
        <v>152</v>
      </c>
      <c r="S64" s="187" t="s">
        <v>2150</v>
      </c>
      <c r="T64" s="176" t="s">
        <v>923</v>
      </c>
      <c r="U64" s="4" t="s">
        <v>2697</v>
      </c>
    </row>
    <row r="65" spans="1:21" s="54" customFormat="1" ht="60" hidden="1" customHeight="1" outlineLevel="1" x14ac:dyDescent="0.25">
      <c r="A65" s="42" t="s">
        <v>234</v>
      </c>
      <c r="B65" s="42" t="s">
        <v>1768</v>
      </c>
      <c r="C65" s="42" t="s">
        <v>3067</v>
      </c>
      <c r="D65" s="42" t="s">
        <v>1947</v>
      </c>
      <c r="E65" s="12" t="s">
        <v>164</v>
      </c>
      <c r="F65" s="12" t="s">
        <v>667</v>
      </c>
      <c r="G65" s="34" t="s">
        <v>1943</v>
      </c>
      <c r="H65" s="172">
        <f>(1000.14/3)*2</f>
        <v>666.76</v>
      </c>
      <c r="I65" s="15" t="s">
        <v>1520</v>
      </c>
      <c r="J65" s="17">
        <f>IF(H65&gt;0,(H65*VLOOKUP(Lookups!$K$11,Lookups!$M$10:$P$43,4,0)/VLOOKUP(I65,Lookups!$M$10:$P$43,4,0)),"")</f>
        <v>686.711474245094</v>
      </c>
      <c r="K65" s="14">
        <f>1000.14/3</f>
        <v>333.38</v>
      </c>
      <c r="L65" s="15" t="s">
        <v>1520</v>
      </c>
      <c r="M65" s="17">
        <f>IF(K65&gt;0,(K65*VLOOKUP(Lookups!$K$11,Lookups!$M$10:$P$43,4,0)/VLOOKUP(L65,Lookups!$M$10:$P$43,4,0)),"")</f>
        <v>343.355737122547</v>
      </c>
      <c r="N65" s="14"/>
      <c r="O65" s="15"/>
      <c r="P65" s="17" t="str">
        <f>IF(N65&gt;0,(N65*VLOOKUP(Lookups!$K$11,Lookups!$M$10:$P$43,4,0)/VLOOKUP(O65,Lookups!$M$10:$P$43,4,0)),"")</f>
        <v/>
      </c>
      <c r="Q65" s="173" t="s">
        <v>2698</v>
      </c>
      <c r="R65" s="15" t="s">
        <v>152</v>
      </c>
      <c r="S65" s="187" t="s">
        <v>2150</v>
      </c>
      <c r="T65" s="176" t="s">
        <v>923</v>
      </c>
      <c r="U65" s="4" t="s">
        <v>2697</v>
      </c>
    </row>
    <row r="66" spans="1:21" s="54" customFormat="1" ht="60" customHeight="1" collapsed="1" x14ac:dyDescent="0.25">
      <c r="A66" s="38" t="s">
        <v>234</v>
      </c>
      <c r="B66" s="38" t="s">
        <v>1768</v>
      </c>
      <c r="C66" s="38" t="s">
        <v>534</v>
      </c>
      <c r="D66" s="38" t="s">
        <v>1948</v>
      </c>
      <c r="E66" s="12" t="s">
        <v>164</v>
      </c>
      <c r="F66" s="12" t="s">
        <v>667</v>
      </c>
      <c r="G66" s="34" t="s">
        <v>1943</v>
      </c>
      <c r="H66" s="172">
        <f>(710.02/3)*2</f>
        <v>473.34666666666664</v>
      </c>
      <c r="I66" s="15" t="s">
        <v>1520</v>
      </c>
      <c r="J66" s="17">
        <f>IF(H66&gt;0,(H66*VLOOKUP(Lookups!$K$11,Lookups!$M$10:$P$43,4,0)/VLOOKUP(I66,Lookups!$M$10:$P$43,4,0)),"")</f>
        <v>487.51062945537785</v>
      </c>
      <c r="K66" s="14">
        <f>710.02/3</f>
        <v>236.67333333333332</v>
      </c>
      <c r="L66" s="15" t="s">
        <v>1520</v>
      </c>
      <c r="M66" s="17">
        <f>IF(K66&gt;0,(K66*VLOOKUP(Lookups!$K$11,Lookups!$M$10:$P$43,4,0)/VLOOKUP(L66,Lookups!$M$10:$P$43,4,0)),"")</f>
        <v>243.75531472768893</v>
      </c>
      <c r="N66" s="14"/>
      <c r="O66" s="15"/>
      <c r="P66" s="17" t="str">
        <f>IF(N66&gt;0,(N66*VLOOKUP(Lookups!$K$11,Lookups!$M$10:$P$43,4,0)/VLOOKUP(O66,Lookups!$M$10:$P$43,4,0)),"")</f>
        <v/>
      </c>
      <c r="Q66" s="173" t="s">
        <v>2678</v>
      </c>
      <c r="R66" s="15" t="s">
        <v>152</v>
      </c>
      <c r="S66" s="187" t="s">
        <v>2150</v>
      </c>
      <c r="T66" s="176" t="s">
        <v>923</v>
      </c>
      <c r="U66" s="4" t="s">
        <v>2697</v>
      </c>
    </row>
    <row r="67" spans="1:21" s="54" customFormat="1" ht="60" hidden="1" customHeight="1" outlineLevel="1" x14ac:dyDescent="0.25">
      <c r="A67" s="42" t="s">
        <v>234</v>
      </c>
      <c r="B67" s="42" t="s">
        <v>1768</v>
      </c>
      <c r="C67" s="42" t="s">
        <v>2155</v>
      </c>
      <c r="D67" s="42" t="s">
        <v>1949</v>
      </c>
      <c r="E67" s="12" t="s">
        <v>164</v>
      </c>
      <c r="F67" s="12" t="s">
        <v>210</v>
      </c>
      <c r="G67" s="34" t="s">
        <v>1943</v>
      </c>
      <c r="H67" s="172">
        <f>(778.75/3)*2</f>
        <v>519.16666666666663</v>
      </c>
      <c r="I67" s="15" t="s">
        <v>1520</v>
      </c>
      <c r="J67" s="17">
        <f>IF(H67&gt;0,(H67*VLOOKUP(Lookups!$K$11,Lookups!$M$10:$P$43,4,0)/VLOOKUP(I67,Lookups!$M$10:$P$43,4,0)),"")</f>
        <v>534.70170233004069</v>
      </c>
      <c r="K67" s="14">
        <f>778.75/3</f>
        <v>259.58333333333331</v>
      </c>
      <c r="L67" s="15" t="s">
        <v>1520</v>
      </c>
      <c r="M67" s="17">
        <f>IF(K67&gt;0,(K67*VLOOKUP(Lookups!$K$11,Lookups!$M$10:$P$43,4,0)/VLOOKUP(L67,Lookups!$M$10:$P$43,4,0)),"")</f>
        <v>267.35085116502034</v>
      </c>
      <c r="N67" s="14"/>
      <c r="O67" s="15"/>
      <c r="P67" s="17" t="str">
        <f>IF(N67&gt;0,(N67*VLOOKUP(Lookups!$K$11,Lookups!$M$10:$P$43,4,0)/VLOOKUP(O67,Lookups!$M$10:$P$43,4,0)),"")</f>
        <v/>
      </c>
      <c r="Q67" s="173" t="s">
        <v>2678</v>
      </c>
      <c r="R67" s="15" t="s">
        <v>152</v>
      </c>
      <c r="S67" s="187" t="s">
        <v>2150</v>
      </c>
      <c r="T67" s="176" t="s">
        <v>923</v>
      </c>
      <c r="U67" s="4" t="s">
        <v>2697</v>
      </c>
    </row>
    <row r="68" spans="1:21" s="54" customFormat="1" ht="60" hidden="1" customHeight="1" outlineLevel="1" x14ac:dyDescent="0.25">
      <c r="A68" s="42" t="s">
        <v>234</v>
      </c>
      <c r="B68" s="42" t="s">
        <v>1768</v>
      </c>
      <c r="C68" s="42" t="s">
        <v>2156</v>
      </c>
      <c r="D68" s="42" t="s">
        <v>1950</v>
      </c>
      <c r="E68" s="12" t="s">
        <v>164</v>
      </c>
      <c r="F68" s="12" t="s">
        <v>210</v>
      </c>
      <c r="G68" s="34" t="s">
        <v>1943</v>
      </c>
      <c r="H68" s="172">
        <f>(1227.55/3)*2</f>
        <v>818.36666666666667</v>
      </c>
      <c r="I68" s="15" t="s">
        <v>1520</v>
      </c>
      <c r="J68" s="17">
        <f>IF(H68&gt;0,(H68*VLOOKUP(Lookups!$K$11,Lookups!$M$10:$P$43,4,0)/VLOOKUP(I68,Lookups!$M$10:$P$43,4,0)),"")</f>
        <v>842.85467055568745</v>
      </c>
      <c r="K68" s="14">
        <f>1227.55/3</f>
        <v>409.18333333333334</v>
      </c>
      <c r="L68" s="15" t="s">
        <v>1520</v>
      </c>
      <c r="M68" s="17">
        <f>IF(K68&gt;0,(K68*VLOOKUP(Lookups!$K$11,Lookups!$M$10:$P$43,4,0)/VLOOKUP(L68,Lookups!$M$10:$P$43,4,0)),"")</f>
        <v>421.42733527784372</v>
      </c>
      <c r="N68" s="14"/>
      <c r="O68" s="15"/>
      <c r="P68" s="17" t="str">
        <f>IF(N68&gt;0,(N68*VLOOKUP(Lookups!$K$11,Lookups!$M$10:$P$43,4,0)/VLOOKUP(O68,Lookups!$M$10:$P$43,4,0)),"")</f>
        <v/>
      </c>
      <c r="Q68" s="173" t="s">
        <v>2698</v>
      </c>
      <c r="R68" s="15" t="s">
        <v>152</v>
      </c>
      <c r="S68" s="187" t="s">
        <v>2150</v>
      </c>
      <c r="T68" s="176" t="s">
        <v>923</v>
      </c>
      <c r="U68" s="4" t="s">
        <v>2697</v>
      </c>
    </row>
    <row r="69" spans="1:21" s="54" customFormat="1" ht="60" hidden="1" customHeight="1" outlineLevel="1" x14ac:dyDescent="0.25">
      <c r="A69" s="42" t="s">
        <v>234</v>
      </c>
      <c r="B69" s="42" t="s">
        <v>1768</v>
      </c>
      <c r="C69" s="42" t="s">
        <v>2157</v>
      </c>
      <c r="D69" s="42" t="s">
        <v>1951</v>
      </c>
      <c r="E69" s="12" t="s">
        <v>164</v>
      </c>
      <c r="F69" s="12" t="s">
        <v>667</v>
      </c>
      <c r="G69" s="34" t="s">
        <v>1943</v>
      </c>
      <c r="H69" s="172">
        <f>(707.43/3)*2</f>
        <v>471.61999999999995</v>
      </c>
      <c r="I69" s="15" t="s">
        <v>1520</v>
      </c>
      <c r="J69" s="17">
        <f>IF(H69&gt;0,(H69*VLOOKUP(Lookups!$K$11,Lookups!$M$10:$P$43,4,0)/VLOOKUP(I69,Lookups!$M$10:$P$43,4,0)),"")</f>
        <v>485.73229570380829</v>
      </c>
      <c r="K69" s="14">
        <f>707.43/3</f>
        <v>235.80999999999997</v>
      </c>
      <c r="L69" s="15" t="s">
        <v>1520</v>
      </c>
      <c r="M69" s="17">
        <f>IF(K69&gt;0,(K69*VLOOKUP(Lookups!$K$11,Lookups!$M$10:$P$43,4,0)/VLOOKUP(L69,Lookups!$M$10:$P$43,4,0)),"")</f>
        <v>242.86614785190415</v>
      </c>
      <c r="N69" s="14"/>
      <c r="O69" s="15"/>
      <c r="P69" s="17" t="str">
        <f>IF(N69&gt;0,(N69*VLOOKUP(Lookups!$K$11,Lookups!$M$10:$P$43,4,0)/VLOOKUP(O69,Lookups!$M$10:$P$43,4,0)),"")</f>
        <v/>
      </c>
      <c r="Q69" s="173" t="s">
        <v>2698</v>
      </c>
      <c r="R69" s="15" t="s">
        <v>152</v>
      </c>
      <c r="S69" s="187" t="s">
        <v>2150</v>
      </c>
      <c r="T69" s="176" t="s">
        <v>923</v>
      </c>
      <c r="U69" s="4" t="s">
        <v>2697</v>
      </c>
    </row>
    <row r="70" spans="1:21" s="54" customFormat="1" ht="60" customHeight="1" collapsed="1" x14ac:dyDescent="0.25">
      <c r="A70" s="38" t="s">
        <v>234</v>
      </c>
      <c r="B70" s="38" t="s">
        <v>1768</v>
      </c>
      <c r="C70" s="38" t="s">
        <v>535</v>
      </c>
      <c r="D70" s="38" t="s">
        <v>1952</v>
      </c>
      <c r="E70" s="12" t="s">
        <v>164</v>
      </c>
      <c r="F70" s="12" t="s">
        <v>667</v>
      </c>
      <c r="G70" s="34" t="s">
        <v>1943</v>
      </c>
      <c r="H70" s="172">
        <f>(712.34/3)*2</f>
        <v>474.89333333333337</v>
      </c>
      <c r="I70" s="15" t="s">
        <v>1520</v>
      </c>
      <c r="J70" s="17">
        <f>IF(H70&gt;0,(H70*VLOOKUP(Lookups!$K$11,Lookups!$M$10:$P$43,4,0)/VLOOKUP(I70,Lookups!$M$10:$P$43,4,0)),"")</f>
        <v>489.10357706296151</v>
      </c>
      <c r="K70" s="14">
        <f>712.34/3</f>
        <v>237.44666666666669</v>
      </c>
      <c r="L70" s="15" t="s">
        <v>1520</v>
      </c>
      <c r="M70" s="17">
        <f>IF(K70&gt;0,(K70*VLOOKUP(Lookups!$K$11,Lookups!$M$10:$P$43,4,0)/VLOOKUP(L70,Lookups!$M$10:$P$43,4,0)),"")</f>
        <v>244.55178853148075</v>
      </c>
      <c r="N70" s="14"/>
      <c r="O70" s="15"/>
      <c r="P70" s="17" t="str">
        <f>IF(N70&gt;0,(N70*VLOOKUP(Lookups!$K$11,Lookups!$M$10:$P$43,4,0)/VLOOKUP(O70,Lookups!$M$10:$P$43,4,0)),"")</f>
        <v/>
      </c>
      <c r="Q70" s="173" t="s">
        <v>2678</v>
      </c>
      <c r="R70" s="15" t="s">
        <v>152</v>
      </c>
      <c r="S70" s="187" t="s">
        <v>2150</v>
      </c>
      <c r="T70" s="176" t="s">
        <v>923</v>
      </c>
      <c r="U70" s="4" t="s">
        <v>2697</v>
      </c>
    </row>
    <row r="71" spans="1:21" s="54" customFormat="1" ht="60" hidden="1" customHeight="1" outlineLevel="1" x14ac:dyDescent="0.25">
      <c r="A71" s="42" t="s">
        <v>234</v>
      </c>
      <c r="B71" s="42" t="s">
        <v>1768</v>
      </c>
      <c r="C71" s="42" t="s">
        <v>3068</v>
      </c>
      <c r="D71" s="42" t="s">
        <v>1953</v>
      </c>
      <c r="E71" s="12" t="s">
        <v>164</v>
      </c>
      <c r="F71" s="12" t="s">
        <v>210</v>
      </c>
      <c r="G71" s="34" t="s">
        <v>1943</v>
      </c>
      <c r="H71" s="172">
        <f>(806.16/3)*2</f>
        <v>537.43999999999994</v>
      </c>
      <c r="I71" s="15" t="s">
        <v>1520</v>
      </c>
      <c r="J71" s="17">
        <f>IF(H71&gt;0,(H71*VLOOKUP(Lookups!$K$11,Lookups!$M$10:$P$43,4,0)/VLOOKUP(I71,Lookups!$M$10:$P$43,4,0)),"")</f>
        <v>553.5218290213619</v>
      </c>
      <c r="K71" s="14">
        <f>806.16/3</f>
        <v>268.71999999999997</v>
      </c>
      <c r="L71" s="15" t="s">
        <v>1520</v>
      </c>
      <c r="M71" s="17">
        <f>IF(K71&gt;0,(K71*VLOOKUP(Lookups!$K$11,Lookups!$M$10:$P$43,4,0)/VLOOKUP(L71,Lookups!$M$10:$P$43,4,0)),"")</f>
        <v>276.76091451068095</v>
      </c>
      <c r="N71" s="14"/>
      <c r="O71" s="15"/>
      <c r="P71" s="17" t="str">
        <f>IF(N71&gt;0,(N71*VLOOKUP(Lookups!$K$11,Lookups!$M$10:$P$43,4,0)/VLOOKUP(O71,Lookups!$M$10:$P$43,4,0)),"")</f>
        <v/>
      </c>
      <c r="Q71" s="173" t="s">
        <v>2678</v>
      </c>
      <c r="R71" s="15" t="s">
        <v>152</v>
      </c>
      <c r="S71" s="187" t="s">
        <v>2150</v>
      </c>
      <c r="T71" s="176" t="s">
        <v>923</v>
      </c>
      <c r="U71" s="4" t="s">
        <v>2697</v>
      </c>
    </row>
    <row r="72" spans="1:21" s="54" customFormat="1" ht="60" hidden="1" customHeight="1" outlineLevel="1" x14ac:dyDescent="0.25">
      <c r="A72" s="42" t="s">
        <v>234</v>
      </c>
      <c r="B72" s="42" t="s">
        <v>1768</v>
      </c>
      <c r="C72" s="42" t="s">
        <v>3069</v>
      </c>
      <c r="D72" s="42" t="s">
        <v>1954</v>
      </c>
      <c r="E72" s="12" t="s">
        <v>164</v>
      </c>
      <c r="F72" s="12" t="s">
        <v>210</v>
      </c>
      <c r="G72" s="34" t="s">
        <v>1943</v>
      </c>
      <c r="H72" s="172">
        <f>(920.75/3)*2</f>
        <v>613.83333333333337</v>
      </c>
      <c r="I72" s="15" t="s">
        <v>1520</v>
      </c>
      <c r="J72" s="17">
        <f>IF(H72&gt;0,(H72*VLOOKUP(Lookups!$K$11,Lookups!$M$10:$P$43,4,0)/VLOOKUP(I72,Lookups!$M$10:$P$43,4,0)),"")</f>
        <v>632.20108175972405</v>
      </c>
      <c r="K72" s="14">
        <f>920.75/3</f>
        <v>306.91666666666669</v>
      </c>
      <c r="L72" s="15" t="s">
        <v>1520</v>
      </c>
      <c r="M72" s="17">
        <f>IF(K72&gt;0,(K72*VLOOKUP(Lookups!$K$11,Lookups!$M$10:$P$43,4,0)/VLOOKUP(L72,Lookups!$M$10:$P$43,4,0)),"")</f>
        <v>316.10054087986202</v>
      </c>
      <c r="N72" s="14"/>
      <c r="O72" s="15"/>
      <c r="P72" s="17" t="str">
        <f>IF(N72&gt;0,(N72*VLOOKUP(Lookups!$K$11,Lookups!$M$10:$P$43,4,0)/VLOOKUP(O72,Lookups!$M$10:$P$43,4,0)),"")</f>
        <v/>
      </c>
      <c r="Q72" s="173" t="s">
        <v>2698</v>
      </c>
      <c r="R72" s="15" t="s">
        <v>152</v>
      </c>
      <c r="S72" s="187" t="s">
        <v>2150</v>
      </c>
      <c r="T72" s="176" t="s">
        <v>923</v>
      </c>
      <c r="U72" s="4" t="s">
        <v>2697</v>
      </c>
    </row>
    <row r="73" spans="1:21" s="54" customFormat="1" ht="60" hidden="1" customHeight="1" outlineLevel="1" x14ac:dyDescent="0.25">
      <c r="A73" s="42" t="s">
        <v>234</v>
      </c>
      <c r="B73" s="42" t="s">
        <v>1768</v>
      </c>
      <c r="C73" s="42" t="s">
        <v>3070</v>
      </c>
      <c r="D73" s="42" t="s">
        <v>1955</v>
      </c>
      <c r="E73" s="12" t="s">
        <v>164</v>
      </c>
      <c r="F73" s="12" t="s">
        <v>667</v>
      </c>
      <c r="G73" s="34" t="s">
        <v>1943</v>
      </c>
      <c r="H73" s="172">
        <f>(1106.63/3)*2</f>
        <v>737.75333333333344</v>
      </c>
      <c r="I73" s="15" t="s">
        <v>1520</v>
      </c>
      <c r="J73" s="17">
        <f>IF(H73&gt;0,(H73*VLOOKUP(Lookups!$K$11,Lookups!$M$10:$P$43,4,0)/VLOOKUP(I73,Lookups!$M$10:$P$43,4,0)),"")</f>
        <v>759.82914266387559</v>
      </c>
      <c r="K73" s="14">
        <f>1106.63/3</f>
        <v>368.87666666666672</v>
      </c>
      <c r="L73" s="15" t="s">
        <v>1520</v>
      </c>
      <c r="M73" s="17">
        <f>IF(K73&gt;0,(K73*VLOOKUP(Lookups!$K$11,Lookups!$M$10:$P$43,4,0)/VLOOKUP(L73,Lookups!$M$10:$P$43,4,0)),"")</f>
        <v>379.91457133193779</v>
      </c>
      <c r="N73" s="14"/>
      <c r="O73" s="15"/>
      <c r="P73" s="17" t="str">
        <f>IF(N73&gt;0,(N73*VLOOKUP(Lookups!$K$11,Lookups!$M$10:$P$43,4,0)/VLOOKUP(O73,Lookups!$M$10:$P$43,4,0)),"")</f>
        <v/>
      </c>
      <c r="Q73" s="173" t="s">
        <v>2698</v>
      </c>
      <c r="R73" s="15" t="s">
        <v>152</v>
      </c>
      <c r="S73" s="187" t="s">
        <v>2150</v>
      </c>
      <c r="T73" s="176" t="s">
        <v>923</v>
      </c>
      <c r="U73" s="4" t="s">
        <v>2697</v>
      </c>
    </row>
    <row r="74" spans="1:21" s="54" customFormat="1" ht="60" customHeight="1" collapsed="1" x14ac:dyDescent="0.25">
      <c r="A74" s="38" t="s">
        <v>234</v>
      </c>
      <c r="B74" s="38" t="s">
        <v>1768</v>
      </c>
      <c r="C74" s="38" t="s">
        <v>537</v>
      </c>
      <c r="D74" s="38" t="s">
        <v>1766</v>
      </c>
      <c r="E74" s="12" t="s">
        <v>164</v>
      </c>
      <c r="F74" s="12" t="s">
        <v>667</v>
      </c>
      <c r="G74" s="34" t="s">
        <v>1943</v>
      </c>
      <c r="H74" s="172">
        <f>(1126.17/3)*2</f>
        <v>750.78000000000009</v>
      </c>
      <c r="I74" s="15" t="s">
        <v>1520</v>
      </c>
      <c r="J74" s="17">
        <f>IF(H74&gt;0,(H74*VLOOKUP(Lookups!$K$11,Lookups!$M$10:$P$43,4,0)/VLOOKUP(I74,Lookups!$M$10:$P$43,4,0)),"")</f>
        <v>773.24560656567849</v>
      </c>
      <c r="K74" s="14">
        <f>1126.17/3</f>
        <v>375.39000000000004</v>
      </c>
      <c r="L74" s="15" t="s">
        <v>1520</v>
      </c>
      <c r="M74" s="17">
        <f>IF(K74&gt;0,(K74*VLOOKUP(Lookups!$K$11,Lookups!$M$10:$P$43,4,0)/VLOOKUP(L74,Lookups!$M$10:$P$43,4,0)),"")</f>
        <v>386.62280328283924</v>
      </c>
      <c r="N74" s="14"/>
      <c r="O74" s="15"/>
      <c r="P74" s="17" t="str">
        <f>IF(N74&gt;0,(N74*VLOOKUP(Lookups!$K$11,Lookups!$M$10:$P$43,4,0)/VLOOKUP(O74,Lookups!$M$10:$P$43,4,0)),"")</f>
        <v/>
      </c>
      <c r="Q74" s="173" t="s">
        <v>2678</v>
      </c>
      <c r="R74" s="15" t="s">
        <v>152</v>
      </c>
      <c r="S74" s="187" t="s">
        <v>2150</v>
      </c>
      <c r="T74" s="176" t="s">
        <v>923</v>
      </c>
      <c r="U74" s="4" t="s">
        <v>2697</v>
      </c>
    </row>
    <row r="75" spans="1:21" s="54" customFormat="1" ht="60" hidden="1" customHeight="1" outlineLevel="1" x14ac:dyDescent="0.25">
      <c r="A75" s="42" t="s">
        <v>234</v>
      </c>
      <c r="B75" s="42" t="s">
        <v>1768</v>
      </c>
      <c r="C75" s="42" t="s">
        <v>2158</v>
      </c>
      <c r="D75" s="42" t="s">
        <v>1767</v>
      </c>
      <c r="E75" s="12" t="s">
        <v>164</v>
      </c>
      <c r="F75" s="12" t="s">
        <v>210</v>
      </c>
      <c r="G75" s="34" t="s">
        <v>1943</v>
      </c>
      <c r="H75" s="172">
        <f>(913.77/3)*2</f>
        <v>609.17999999999995</v>
      </c>
      <c r="I75" s="15" t="s">
        <v>1520</v>
      </c>
      <c r="J75" s="17">
        <f>IF(H75&gt;0,(H75*VLOOKUP(Lookups!$K$11,Lookups!$M$10:$P$43,4,0)/VLOOKUP(I75,Lookups!$M$10:$P$43,4,0)),"")</f>
        <v>627.40850663001129</v>
      </c>
      <c r="K75" s="14">
        <f>913.77/3</f>
        <v>304.58999999999997</v>
      </c>
      <c r="L75" s="15" t="s">
        <v>1520</v>
      </c>
      <c r="M75" s="17">
        <f>IF(K75&gt;0,(K75*VLOOKUP(Lookups!$K$11,Lookups!$M$10:$P$43,4,0)/VLOOKUP(L75,Lookups!$M$10:$P$43,4,0)),"")</f>
        <v>313.70425331500564</v>
      </c>
      <c r="N75" s="14"/>
      <c r="O75" s="15"/>
      <c r="P75" s="17" t="str">
        <f>IF(N75&gt;0,(N75*VLOOKUP(Lookups!$K$11,Lookups!$M$10:$P$43,4,0)/VLOOKUP(O75,Lookups!$M$10:$P$43,4,0)),"")</f>
        <v/>
      </c>
      <c r="Q75" s="173" t="s">
        <v>2678</v>
      </c>
      <c r="R75" s="15" t="s">
        <v>152</v>
      </c>
      <c r="S75" s="187" t="s">
        <v>2150</v>
      </c>
      <c r="T75" s="176" t="s">
        <v>923</v>
      </c>
      <c r="U75" s="4" t="s">
        <v>2697</v>
      </c>
    </row>
    <row r="76" spans="1:21" s="54" customFormat="1" ht="60" hidden="1" customHeight="1" outlineLevel="1" x14ac:dyDescent="0.25">
      <c r="A76" s="42" t="s">
        <v>234</v>
      </c>
      <c r="B76" s="42" t="s">
        <v>1768</v>
      </c>
      <c r="C76" s="42" t="s">
        <v>2159</v>
      </c>
      <c r="D76" s="42" t="s">
        <v>1938</v>
      </c>
      <c r="E76" s="12" t="s">
        <v>164</v>
      </c>
      <c r="F76" s="12" t="s">
        <v>210</v>
      </c>
      <c r="G76" s="34" t="s">
        <v>1943</v>
      </c>
      <c r="H76" s="172">
        <f>(1687.01/3)*2</f>
        <v>1124.6733333333334</v>
      </c>
      <c r="I76" s="15" t="s">
        <v>1520</v>
      </c>
      <c r="J76" s="17">
        <f>IF(H76&gt;0,(H76*VLOOKUP(Lookups!$K$11,Lookups!$M$10:$P$43,4,0)/VLOOKUP(I76,Lookups!$M$10:$P$43,4,0)),"")</f>
        <v>1158.3269583920412</v>
      </c>
      <c r="K76" s="14">
        <f>1687.01/3</f>
        <v>562.3366666666667</v>
      </c>
      <c r="L76" s="15" t="s">
        <v>1520</v>
      </c>
      <c r="M76" s="17">
        <f>IF(K76&gt;0,(K76*VLOOKUP(Lookups!$K$11,Lookups!$M$10:$P$43,4,0)/VLOOKUP(L76,Lookups!$M$10:$P$43,4,0)),"")</f>
        <v>579.1634791960206</v>
      </c>
      <c r="N76" s="14"/>
      <c r="O76" s="15"/>
      <c r="P76" s="17" t="str">
        <f>IF(N76&gt;0,(N76*VLOOKUP(Lookups!$K$11,Lookups!$M$10:$P$43,4,0)/VLOOKUP(O76,Lookups!$M$10:$P$43,4,0)),"")</f>
        <v/>
      </c>
      <c r="Q76" s="173" t="s">
        <v>2698</v>
      </c>
      <c r="R76" s="15" t="s">
        <v>152</v>
      </c>
      <c r="S76" s="187" t="s">
        <v>2150</v>
      </c>
      <c r="T76" s="176" t="s">
        <v>923</v>
      </c>
      <c r="U76" s="4" t="s">
        <v>2697</v>
      </c>
    </row>
    <row r="77" spans="1:21" s="54" customFormat="1" ht="60" hidden="1" customHeight="1" outlineLevel="1" x14ac:dyDescent="0.25">
      <c r="A77" s="42" t="s">
        <v>234</v>
      </c>
      <c r="B77" s="42" t="s">
        <v>1768</v>
      </c>
      <c r="C77" s="42" t="s">
        <v>2160</v>
      </c>
      <c r="D77" s="42" t="s">
        <v>1939</v>
      </c>
      <c r="E77" s="12" t="s">
        <v>164</v>
      </c>
      <c r="F77" s="12" t="s">
        <v>667</v>
      </c>
      <c r="G77" s="34" t="s">
        <v>1943</v>
      </c>
      <c r="H77" s="172">
        <f>(1446.22/3)*2</f>
        <v>964.14666666666665</v>
      </c>
      <c r="I77" s="15" t="s">
        <v>1520</v>
      </c>
      <c r="J77" s="17">
        <f>IF(H77&gt;0,(H77*VLOOKUP(Lookups!$K$11,Lookups!$M$10:$P$43,4,0)/VLOOKUP(I77,Lookups!$M$10:$P$43,4,0)),"")</f>
        <v>992.99684872391845</v>
      </c>
      <c r="K77" s="14">
        <f>1446.22/3</f>
        <v>482.07333333333332</v>
      </c>
      <c r="L77" s="15" t="s">
        <v>1520</v>
      </c>
      <c r="M77" s="17">
        <f>IF(K77&gt;0,(K77*VLOOKUP(Lookups!$K$11,Lookups!$M$10:$P$43,4,0)/VLOOKUP(L77,Lookups!$M$10:$P$43,4,0)),"")</f>
        <v>496.49842436195922</v>
      </c>
      <c r="N77" s="14"/>
      <c r="O77" s="15"/>
      <c r="P77" s="17" t="str">
        <f>IF(N77&gt;0,(N77*VLOOKUP(Lookups!$K$11,Lookups!$M$10:$P$43,4,0)/VLOOKUP(O77,Lookups!$M$10:$P$43,4,0)),"")</f>
        <v/>
      </c>
      <c r="Q77" s="173" t="s">
        <v>2698</v>
      </c>
      <c r="R77" s="15" t="s">
        <v>152</v>
      </c>
      <c r="S77" s="187" t="s">
        <v>2150</v>
      </c>
      <c r="T77" s="176" t="s">
        <v>923</v>
      </c>
      <c r="U77" s="4" t="s">
        <v>2697</v>
      </c>
    </row>
    <row r="78" spans="1:21" s="54" customFormat="1" ht="60" customHeight="1" collapsed="1" x14ac:dyDescent="0.25">
      <c r="A78" s="38" t="s">
        <v>234</v>
      </c>
      <c r="B78" s="38" t="s">
        <v>1768</v>
      </c>
      <c r="C78" s="38" t="s">
        <v>539</v>
      </c>
      <c r="D78" s="38" t="s">
        <v>1956</v>
      </c>
      <c r="E78" s="12" t="s">
        <v>164</v>
      </c>
      <c r="F78" s="12" t="s">
        <v>667</v>
      </c>
      <c r="G78" s="34" t="s">
        <v>1943</v>
      </c>
      <c r="H78" s="172">
        <f>(684.05/3)*2</f>
        <v>456.0333333333333</v>
      </c>
      <c r="I78" s="15" t="s">
        <v>1520</v>
      </c>
      <c r="J78" s="17">
        <f>IF(H78&gt;0,(H78*VLOOKUP(Lookups!$K$11,Lookups!$M$10:$P$43,4,0)/VLOOKUP(I78,Lookups!$M$10:$P$43,4,0)),"")</f>
        <v>469.67922886531539</v>
      </c>
      <c r="K78" s="14">
        <f>684.05/3</f>
        <v>228.01666666666665</v>
      </c>
      <c r="L78" s="15" t="s">
        <v>1520</v>
      </c>
      <c r="M78" s="17">
        <f>IF(K78&gt;0,(K78*VLOOKUP(Lookups!$K$11,Lookups!$M$10:$P$43,4,0)/VLOOKUP(L78,Lookups!$M$10:$P$43,4,0)),"")</f>
        <v>234.8396144326577</v>
      </c>
      <c r="N78" s="14"/>
      <c r="O78" s="15"/>
      <c r="P78" s="17" t="str">
        <f>IF(N78&gt;0,(N78*VLOOKUP(Lookups!$K$11,Lookups!$M$10:$P$43,4,0)/VLOOKUP(O78,Lookups!$M$10:$P$43,4,0)),"")</f>
        <v/>
      </c>
      <c r="Q78" s="173" t="s">
        <v>2678</v>
      </c>
      <c r="R78" s="15" t="s">
        <v>152</v>
      </c>
      <c r="S78" s="187" t="s">
        <v>2150</v>
      </c>
      <c r="T78" s="176" t="s">
        <v>923</v>
      </c>
      <c r="U78" s="4" t="s">
        <v>2697</v>
      </c>
    </row>
    <row r="79" spans="1:21" s="54" customFormat="1" ht="60" hidden="1" customHeight="1" outlineLevel="1" x14ac:dyDescent="0.25">
      <c r="A79" s="42" t="s">
        <v>234</v>
      </c>
      <c r="B79" s="42" t="s">
        <v>1768</v>
      </c>
      <c r="C79" s="42" t="s">
        <v>918</v>
      </c>
      <c r="D79" s="42" t="s">
        <v>1957</v>
      </c>
      <c r="E79" s="12" t="s">
        <v>164</v>
      </c>
      <c r="F79" s="12" t="s">
        <v>210</v>
      </c>
      <c r="G79" s="34" t="s">
        <v>1943</v>
      </c>
      <c r="H79" s="172">
        <f>(804.58/3)*2</f>
        <v>536.38666666666666</v>
      </c>
      <c r="I79" s="15" t="s">
        <v>1520</v>
      </c>
      <c r="J79" s="17">
        <f>IF(H79&gt;0,(H79*VLOOKUP(Lookups!$K$11,Lookups!$M$10:$P$43,4,0)/VLOOKUP(I79,Lookups!$M$10:$P$43,4,0)),"")</f>
        <v>552.43697677136981</v>
      </c>
      <c r="K79" s="14">
        <f>804.58/3</f>
        <v>268.19333333333333</v>
      </c>
      <c r="L79" s="15" t="s">
        <v>1520</v>
      </c>
      <c r="M79" s="17">
        <f>IF(K79&gt;0,(K79*VLOOKUP(Lookups!$K$11,Lookups!$M$10:$P$43,4,0)/VLOOKUP(L79,Lookups!$M$10:$P$43,4,0)),"")</f>
        <v>276.21848838568491</v>
      </c>
      <c r="N79" s="14"/>
      <c r="O79" s="15"/>
      <c r="P79" s="17" t="str">
        <f>IF(N79&gt;0,(N79*VLOOKUP(Lookups!$K$11,Lookups!$M$10:$P$43,4,0)/VLOOKUP(O79,Lookups!$M$10:$P$43,4,0)),"")</f>
        <v/>
      </c>
      <c r="Q79" s="173" t="s">
        <v>2678</v>
      </c>
      <c r="R79" s="15" t="s">
        <v>152</v>
      </c>
      <c r="S79" s="187" t="s">
        <v>2150</v>
      </c>
      <c r="T79" s="176" t="s">
        <v>923</v>
      </c>
      <c r="U79" s="4" t="s">
        <v>2697</v>
      </c>
    </row>
    <row r="80" spans="1:21" s="54" customFormat="1" ht="60" hidden="1" customHeight="1" outlineLevel="1" x14ac:dyDescent="0.25">
      <c r="A80" s="42" t="s">
        <v>234</v>
      </c>
      <c r="B80" s="42" t="s">
        <v>1768</v>
      </c>
      <c r="C80" s="42" t="s">
        <v>919</v>
      </c>
      <c r="D80" s="42" t="s">
        <v>1958</v>
      </c>
      <c r="E80" s="12" t="s">
        <v>164</v>
      </c>
      <c r="F80" s="12" t="s">
        <v>210</v>
      </c>
      <c r="G80" s="34" t="s">
        <v>1943</v>
      </c>
      <c r="H80" s="172">
        <f>(991.85/3)*2</f>
        <v>661.23333333333335</v>
      </c>
      <c r="I80" s="15" t="s">
        <v>1520</v>
      </c>
      <c r="J80" s="17">
        <f>IF(H80&gt;0,(H80*VLOOKUP(Lookups!$K$11,Lookups!$M$10:$P$43,4,0)/VLOOKUP(I80,Lookups!$M$10:$P$43,4,0)),"")</f>
        <v>681.01943300937523</v>
      </c>
      <c r="K80" s="14">
        <f>991.85/3</f>
        <v>330.61666666666667</v>
      </c>
      <c r="L80" s="15" t="s">
        <v>1520</v>
      </c>
      <c r="M80" s="17">
        <f>IF(K80&gt;0,(K80*VLOOKUP(Lookups!$K$11,Lookups!$M$10:$P$43,4,0)/VLOOKUP(L80,Lookups!$M$10:$P$43,4,0)),"")</f>
        <v>340.50971650468762</v>
      </c>
      <c r="N80" s="14"/>
      <c r="O80" s="15"/>
      <c r="P80" s="17" t="str">
        <f>IF(N80&gt;0,(N80*VLOOKUP(Lookups!$K$11,Lookups!$M$10:$P$43,4,0)/VLOOKUP(O80,Lookups!$M$10:$P$43,4,0)),"")</f>
        <v/>
      </c>
      <c r="Q80" s="173" t="s">
        <v>2698</v>
      </c>
      <c r="R80" s="15" t="s">
        <v>152</v>
      </c>
      <c r="S80" s="187" t="s">
        <v>2150</v>
      </c>
      <c r="T80" s="176" t="s">
        <v>923</v>
      </c>
      <c r="U80" s="4" t="s">
        <v>2697</v>
      </c>
    </row>
    <row r="81" spans="1:21" s="54" customFormat="1" ht="60" hidden="1" customHeight="1" outlineLevel="1" x14ac:dyDescent="0.25">
      <c r="A81" s="42" t="s">
        <v>234</v>
      </c>
      <c r="B81" s="42" t="s">
        <v>1768</v>
      </c>
      <c r="C81" s="42" t="s">
        <v>3071</v>
      </c>
      <c r="D81" s="42" t="s">
        <v>1959</v>
      </c>
      <c r="E81" s="12" t="s">
        <v>164</v>
      </c>
      <c r="F81" s="12" t="s">
        <v>667</v>
      </c>
      <c r="G81" s="34" t="s">
        <v>1943</v>
      </c>
      <c r="H81" s="172">
        <f>(1023.81/3)*2</f>
        <v>682.54</v>
      </c>
      <c r="I81" s="15" t="s">
        <v>1520</v>
      </c>
      <c r="J81" s="17">
        <f>IF(H81&gt;0,(H81*VLOOKUP(Lookups!$K$11,Lookups!$M$10:$P$43,4,0)/VLOOKUP(I81,Lookups!$M$10:$P$43,4,0)),"")</f>
        <v>702.96365953453483</v>
      </c>
      <c r="K81" s="14">
        <f>1023.81/3</f>
        <v>341.27</v>
      </c>
      <c r="L81" s="15" t="s">
        <v>1520</v>
      </c>
      <c r="M81" s="17">
        <f>IF(K81&gt;0,(K81*VLOOKUP(Lookups!$K$11,Lookups!$M$10:$P$43,4,0)/VLOOKUP(L81,Lookups!$M$10:$P$43,4,0)),"")</f>
        <v>351.48182976726741</v>
      </c>
      <c r="N81" s="14"/>
      <c r="O81" s="15"/>
      <c r="P81" s="17" t="str">
        <f>IF(N81&gt;0,(N81*VLOOKUP(Lookups!$K$11,Lookups!$M$10:$P$43,4,0)/VLOOKUP(O81,Lookups!$M$10:$P$43,4,0)),"")</f>
        <v/>
      </c>
      <c r="Q81" s="173" t="s">
        <v>2698</v>
      </c>
      <c r="R81" s="15" t="s">
        <v>152</v>
      </c>
      <c r="S81" s="187" t="s">
        <v>2150</v>
      </c>
      <c r="T81" s="176" t="s">
        <v>923</v>
      </c>
      <c r="U81" s="4" t="s">
        <v>2697</v>
      </c>
    </row>
    <row r="82" spans="1:21" s="54" customFormat="1" ht="60" customHeight="1" collapsed="1" x14ac:dyDescent="0.25">
      <c r="A82" s="38" t="s">
        <v>234</v>
      </c>
      <c r="B82" s="38" t="s">
        <v>531</v>
      </c>
      <c r="C82" s="38" t="s">
        <v>541</v>
      </c>
      <c r="D82" s="38" t="s">
        <v>915</v>
      </c>
      <c r="E82" s="12" t="s">
        <v>164</v>
      </c>
      <c r="F82" s="12" t="s">
        <v>210</v>
      </c>
      <c r="G82" s="34" t="s">
        <v>162</v>
      </c>
      <c r="H82" s="172">
        <f>SUM(540.12,H84)</f>
        <v>749.31</v>
      </c>
      <c r="I82" s="15" t="s">
        <v>1522</v>
      </c>
      <c r="J82" s="17">
        <f>IF(H82&gt;0,(H82*VLOOKUP(Lookups!$K$11,Lookups!$M$10:$P$43,4,0)/VLOOKUP(I82,Lookups!$M$10:$P$43,4,0)),"")</f>
        <v>749.31</v>
      </c>
      <c r="K82" s="172">
        <f>K83</f>
        <v>262.21333333333331</v>
      </c>
      <c r="L82" s="15" t="s">
        <v>1520</v>
      </c>
      <c r="M82" s="17">
        <f>IF(K82&gt;0,(K82*VLOOKUP(Lookups!$K$11,Lookups!$M$10:$P$43,4,0)/VLOOKUP(L82,Lookups!$M$10:$P$43,4,0)),"")</f>
        <v>270.05954871326054</v>
      </c>
      <c r="N82" s="14"/>
      <c r="O82" s="15"/>
      <c r="P82" s="17" t="str">
        <f>IF(N82&gt;0,(N82*VLOOKUP(Lookups!$K$11,Lookups!$M$10:$P$43,4,0)/VLOOKUP(O82,Lookups!$M$10:$P$43,4,0)),"")</f>
        <v/>
      </c>
      <c r="Q82" s="173" t="s">
        <v>2700</v>
      </c>
      <c r="R82" s="15" t="s">
        <v>152</v>
      </c>
      <c r="S82" s="187" t="s">
        <v>3098</v>
      </c>
      <c r="T82" s="176" t="s">
        <v>923</v>
      </c>
      <c r="U82" s="4" t="s">
        <v>2690</v>
      </c>
    </row>
    <row r="83" spans="1:21" s="54" customFormat="1" ht="60" hidden="1" customHeight="1" outlineLevel="2" x14ac:dyDescent="0.25">
      <c r="A83" s="12" t="s">
        <v>234</v>
      </c>
      <c r="B83" s="12" t="s">
        <v>531</v>
      </c>
      <c r="C83" s="12" t="s">
        <v>3072</v>
      </c>
      <c r="D83" s="44" t="s">
        <v>916</v>
      </c>
      <c r="E83" s="12" t="s">
        <v>164</v>
      </c>
      <c r="F83" s="12" t="s">
        <v>210</v>
      </c>
      <c r="G83" s="34" t="s">
        <v>1943</v>
      </c>
      <c r="H83" s="172">
        <f>(786.64/3)*2</f>
        <v>524.42666666666662</v>
      </c>
      <c r="I83" s="15" t="s">
        <v>1520</v>
      </c>
      <c r="J83" s="17">
        <f>IF(H83&gt;0,(H83*VLOOKUP(Lookups!$K$11,Lookups!$M$10:$P$43,4,0)/VLOOKUP(I83,Lookups!$M$10:$P$43,4,0)),"")</f>
        <v>540.11909742652108</v>
      </c>
      <c r="K83" s="172">
        <f>786.64/3</f>
        <v>262.21333333333331</v>
      </c>
      <c r="L83" s="15" t="s">
        <v>1520</v>
      </c>
      <c r="M83" s="17">
        <f>IF(K83&gt;0,(K83*VLOOKUP(Lookups!$K$11,Lookups!$M$10:$P$43,4,0)/VLOOKUP(L83,Lookups!$M$10:$P$43,4,0)),"")</f>
        <v>270.05954871326054</v>
      </c>
      <c r="N83" s="14"/>
      <c r="O83" s="15"/>
      <c r="P83" s="17" t="str">
        <f>IF(N83&gt;0,(N83*VLOOKUP(Lookups!$K$11,Lookups!$M$10:$P$43,4,0)/VLOOKUP(O83,Lookups!$M$10:$P$43,4,0)),"")</f>
        <v/>
      </c>
      <c r="Q83" s="173" t="s">
        <v>2699</v>
      </c>
      <c r="R83" s="15" t="s">
        <v>152</v>
      </c>
      <c r="S83" s="187" t="s">
        <v>2143</v>
      </c>
      <c r="T83" s="176" t="s">
        <v>923</v>
      </c>
      <c r="U83" s="4" t="s">
        <v>2690</v>
      </c>
    </row>
    <row r="84" spans="1:21" s="54" customFormat="1" ht="60" hidden="1" customHeight="1" outlineLevel="2" x14ac:dyDescent="0.25">
      <c r="A84" s="12" t="s">
        <v>234</v>
      </c>
      <c r="B84" s="12" t="s">
        <v>531</v>
      </c>
      <c r="C84" s="12" t="s">
        <v>3073</v>
      </c>
      <c r="D84" s="44" t="s">
        <v>917</v>
      </c>
      <c r="E84" s="12" t="s">
        <v>164</v>
      </c>
      <c r="F84" s="12" t="s">
        <v>162</v>
      </c>
      <c r="G84" s="34" t="s">
        <v>2692</v>
      </c>
      <c r="H84" s="172">
        <v>209.19</v>
      </c>
      <c r="I84" s="15" t="s">
        <v>1522</v>
      </c>
      <c r="J84" s="17">
        <f>IF(H84&gt;0,(H84*VLOOKUP(Lookups!$K$11,Lookups!$M$10:$P$43,4,0)/VLOOKUP(I84,Lookups!$M$10:$P$43,4,0)),"")</f>
        <v>209.19</v>
      </c>
      <c r="K84" s="186"/>
      <c r="L84" s="15"/>
      <c r="M84" s="17" t="str">
        <f>IF(K84&gt;0,(K84*VLOOKUP(Lookups!$K$11,Lookups!$M$10:$P$43,4,0)/VLOOKUP(L84,Lookups!$M$10:$P$43,4,0)),"")</f>
        <v/>
      </c>
      <c r="N84" s="14"/>
      <c r="O84" s="15"/>
      <c r="P84" s="17" t="str">
        <f>IF(N84&gt;0,(N84*VLOOKUP(Lookups!$K$11,Lookups!$M$10:$P$43,4,0)/VLOOKUP(O84,Lookups!$M$10:$P$43,4,0)),"")</f>
        <v/>
      </c>
      <c r="Q84" s="173" t="s">
        <v>2693</v>
      </c>
      <c r="R84" s="15" t="s">
        <v>154</v>
      </c>
      <c r="S84" s="185" t="s">
        <v>3099</v>
      </c>
      <c r="T84" s="176" t="s">
        <v>923</v>
      </c>
      <c r="U84" s="4" t="s">
        <v>2694</v>
      </c>
    </row>
    <row r="85" spans="1:21" s="53" customFormat="1" ht="60" hidden="1" customHeight="1" outlineLevel="1" x14ac:dyDescent="0.25">
      <c r="A85" s="50" t="s">
        <v>219</v>
      </c>
      <c r="B85" s="50" t="s">
        <v>230</v>
      </c>
      <c r="C85" s="42" t="s">
        <v>432</v>
      </c>
      <c r="D85" s="42" t="s">
        <v>2742</v>
      </c>
      <c r="E85" s="4" t="s">
        <v>164</v>
      </c>
      <c r="F85" s="4" t="s">
        <v>210</v>
      </c>
      <c r="G85" s="4" t="s">
        <v>631</v>
      </c>
      <c r="H85" s="193">
        <v>950</v>
      </c>
      <c r="I85" s="181" t="s">
        <v>1520</v>
      </c>
      <c r="J85" s="221">
        <f>IF(H85&gt;0,(H85*VLOOKUP(Lookups!$K$11,Lookups!$M$10:$P$43,4,0)/VLOOKUP(I85,Lookups!$M$10:$P$43,4,0)),"")</f>
        <v>978.42687103731373</v>
      </c>
      <c r="K85" s="11"/>
      <c r="L85" s="181"/>
      <c r="M85" s="221" t="str">
        <f>IF(K85&gt;0,(K85*VLOOKUP(Lookups!$K$11,Lookups!$M$10:$P$43,4,0)/VLOOKUP(L85,Lookups!$M$10:$P$43,4,0)),"")</f>
        <v/>
      </c>
      <c r="N85" s="11"/>
      <c r="O85" s="181"/>
      <c r="P85" s="221" t="str">
        <f>IF(N85&gt;0,(N85*VLOOKUP(Lookups!$K$11,Lookups!$M$10:$P$43,4,0)/VLOOKUP(O85,Lookups!$M$10:$P$43,4,0)),"")</f>
        <v/>
      </c>
      <c r="Q85" s="173" t="s">
        <v>2424</v>
      </c>
      <c r="R85" s="181" t="s">
        <v>154</v>
      </c>
      <c r="S85" s="174" t="s">
        <v>3100</v>
      </c>
      <c r="T85" s="176" t="s">
        <v>923</v>
      </c>
      <c r="U85" s="90" t="s">
        <v>2407</v>
      </c>
    </row>
    <row r="86" spans="1:21" s="54" customFormat="1" ht="60" customHeight="1" collapsed="1" x14ac:dyDescent="0.25">
      <c r="A86" s="38" t="s">
        <v>234</v>
      </c>
      <c r="B86" s="38" t="s">
        <v>536</v>
      </c>
      <c r="C86" s="38" t="s">
        <v>81</v>
      </c>
      <c r="D86" s="38" t="s">
        <v>1935</v>
      </c>
      <c r="E86" s="12" t="s">
        <v>628</v>
      </c>
      <c r="F86" s="12" t="s">
        <v>162</v>
      </c>
      <c r="G86" s="34" t="s">
        <v>667</v>
      </c>
      <c r="H86" s="14">
        <v>5965</v>
      </c>
      <c r="I86" s="15" t="s">
        <v>258</v>
      </c>
      <c r="J86" s="17">
        <f>IF(H86&gt;0,(H86*VLOOKUP(Lookups!$K$11,Lookups!$M$10:$P$43,4,0)/VLOOKUP(I86,Lookups!$M$10:$P$43,4,0)),"")</f>
        <v>6900.8028038980183</v>
      </c>
      <c r="K86" s="14"/>
      <c r="L86" s="15"/>
      <c r="M86" s="17" t="str">
        <f>IF(K86&gt;0,(K86*VLOOKUP(Lookups!$K$11,Lookups!$M$10:$P$43,4,0)/VLOOKUP(L86,Lookups!$M$10:$P$43,4,0)),"")</f>
        <v/>
      </c>
      <c r="N86" s="14"/>
      <c r="O86" s="15"/>
      <c r="P86" s="17" t="str">
        <f>IF(N86&gt;0,(N86*VLOOKUP(Lookups!$K$11,Lookups!$M$10:$P$43,4,0)/VLOOKUP(O86,Lookups!$M$10:$P$43,4,0)),"")</f>
        <v/>
      </c>
      <c r="Q86" s="143" t="s">
        <v>1762</v>
      </c>
      <c r="R86" s="15" t="s">
        <v>152</v>
      </c>
      <c r="S86" s="4" t="s">
        <v>1942</v>
      </c>
      <c r="T86" s="176"/>
      <c r="U86" s="90"/>
    </row>
    <row r="87" spans="1:21" s="54" customFormat="1" ht="60" hidden="1" customHeight="1" outlineLevel="1" x14ac:dyDescent="0.25">
      <c r="A87" s="50" t="s">
        <v>234</v>
      </c>
      <c r="B87" s="50" t="s">
        <v>536</v>
      </c>
      <c r="C87" s="42" t="s">
        <v>83</v>
      </c>
      <c r="D87" s="42" t="s">
        <v>1936</v>
      </c>
      <c r="E87" s="12" t="s">
        <v>628</v>
      </c>
      <c r="F87" s="12" t="s">
        <v>162</v>
      </c>
      <c r="G87" s="34" t="s">
        <v>667</v>
      </c>
      <c r="H87" s="14">
        <v>791</v>
      </c>
      <c r="I87" s="15" t="s">
        <v>258</v>
      </c>
      <c r="J87" s="17">
        <f>IF(H87&gt;0,(H87*VLOOKUP(Lookups!$K$11,Lookups!$M$10:$P$43,4,0)/VLOOKUP(I87,Lookups!$M$10:$P$43,4,0)),"")</f>
        <v>915.09388397038265</v>
      </c>
      <c r="K87" s="14"/>
      <c r="L87" s="15"/>
      <c r="M87" s="17" t="str">
        <f>IF(K87&gt;0,(K87*VLOOKUP(Lookups!$K$11,Lookups!$M$10:$P$43,4,0)/VLOOKUP(L87,Lookups!$M$10:$P$43,4,0)),"")</f>
        <v/>
      </c>
      <c r="N87" s="14"/>
      <c r="O87" s="15"/>
      <c r="P87" s="17" t="str">
        <f>IF(N87&gt;0,(N87*VLOOKUP(Lookups!$K$11,Lookups!$M$10:$P$43,4,0)/VLOOKUP(O87,Lookups!$M$10:$P$43,4,0)),"")</f>
        <v/>
      </c>
      <c r="Q87" s="143" t="s">
        <v>1762</v>
      </c>
      <c r="R87" s="15" t="s">
        <v>152</v>
      </c>
      <c r="S87" s="4" t="s">
        <v>1941</v>
      </c>
      <c r="T87" s="176"/>
      <c r="U87" s="90"/>
    </row>
    <row r="88" spans="1:21" s="54" customFormat="1" ht="60" hidden="1" customHeight="1" outlineLevel="1" x14ac:dyDescent="0.25">
      <c r="A88" s="50" t="s">
        <v>234</v>
      </c>
      <c r="B88" s="50" t="s">
        <v>536</v>
      </c>
      <c r="C88" s="42" t="s">
        <v>85</v>
      </c>
      <c r="D88" s="42" t="s">
        <v>1937</v>
      </c>
      <c r="E88" s="12" t="s">
        <v>628</v>
      </c>
      <c r="F88" s="12" t="s">
        <v>162</v>
      </c>
      <c r="G88" s="34" t="s">
        <v>667</v>
      </c>
      <c r="H88" s="14">
        <v>982</v>
      </c>
      <c r="I88" s="15" t="s">
        <v>258</v>
      </c>
      <c r="J88" s="17">
        <f>IF(H88&gt;0,(H88*VLOOKUP(Lookups!$K$11,Lookups!$M$10:$P$43,4,0)/VLOOKUP(I88,Lookups!$M$10:$P$43,4,0)),"")</f>
        <v>1136.0583995687934</v>
      </c>
      <c r="K88" s="14"/>
      <c r="L88" s="15"/>
      <c r="M88" s="17" t="str">
        <f>IF(K88&gt;0,(K88*VLOOKUP(Lookups!$K$11,Lookups!$M$10:$P$43,4,0)/VLOOKUP(L88,Lookups!$M$10:$P$43,4,0)),"")</f>
        <v/>
      </c>
      <c r="N88" s="14"/>
      <c r="O88" s="15"/>
      <c r="P88" s="17" t="str">
        <f>IF(N88&gt;0,(N88*VLOOKUP(Lookups!$K$11,Lookups!$M$10:$P$43,4,0)/VLOOKUP(O88,Lookups!$M$10:$P$43,4,0)),"")</f>
        <v/>
      </c>
      <c r="Q88" s="143" t="s">
        <v>1762</v>
      </c>
      <c r="R88" s="15" t="s">
        <v>152</v>
      </c>
      <c r="S88" s="4" t="s">
        <v>1940</v>
      </c>
      <c r="T88" s="176"/>
      <c r="U88" s="90"/>
    </row>
    <row r="89" spans="1:21" s="54" customFormat="1" ht="60" hidden="1" customHeight="1" outlineLevel="1" x14ac:dyDescent="0.25">
      <c r="A89" s="50" t="s">
        <v>234</v>
      </c>
      <c r="B89" s="50" t="s">
        <v>536</v>
      </c>
      <c r="C89" s="42" t="s">
        <v>1769</v>
      </c>
      <c r="D89" s="42" t="s">
        <v>2357</v>
      </c>
      <c r="E89" s="12" t="s">
        <v>628</v>
      </c>
      <c r="F89" s="12" t="s">
        <v>162</v>
      </c>
      <c r="G89" s="34" t="s">
        <v>667</v>
      </c>
      <c r="H89" s="14">
        <v>2002</v>
      </c>
      <c r="I89" s="15" t="s">
        <v>258</v>
      </c>
      <c r="J89" s="17">
        <f>IF(H89&gt;0,(H89*VLOOKUP(Lookups!$K$11,Lookups!$M$10:$P$43,4,0)/VLOOKUP(I89,Lookups!$M$10:$P$43,4,0)),"")</f>
        <v>2316.0783258011452</v>
      </c>
      <c r="K89" s="14"/>
      <c r="L89" s="15"/>
      <c r="M89" s="17" t="str">
        <f>IF(K89&gt;0,(K89*VLOOKUP(Lookups!$K$11,Lookups!$M$10:$P$43,4,0)/VLOOKUP(L89,Lookups!$M$10:$P$43,4,0)),"")</f>
        <v/>
      </c>
      <c r="N89" s="14"/>
      <c r="O89" s="15"/>
      <c r="P89" s="17" t="str">
        <f>IF(N89&gt;0,(N89*VLOOKUP(Lookups!$K$11,Lookups!$M$10:$P$43,4,0)/VLOOKUP(O89,Lookups!$M$10:$P$43,4,0)),"")</f>
        <v/>
      </c>
      <c r="Q89" s="143" t="s">
        <v>1762</v>
      </c>
      <c r="R89" s="15" t="s">
        <v>152</v>
      </c>
      <c r="S89" s="4" t="s">
        <v>2358</v>
      </c>
      <c r="T89" s="176"/>
      <c r="U89" s="90"/>
    </row>
    <row r="90" spans="1:21" s="54" customFormat="1" ht="60" customHeight="1" x14ac:dyDescent="0.25">
      <c r="A90" s="39" t="s">
        <v>234</v>
      </c>
      <c r="B90" s="39" t="s">
        <v>538</v>
      </c>
      <c r="C90" s="39" t="s">
        <v>86</v>
      </c>
      <c r="D90" s="224" t="s">
        <v>2801</v>
      </c>
      <c r="E90" s="4" t="s">
        <v>654</v>
      </c>
      <c r="F90" s="4" t="s">
        <v>210</v>
      </c>
      <c r="G90" s="4" t="s">
        <v>162</v>
      </c>
      <c r="H90" s="11">
        <v>1635</v>
      </c>
      <c r="I90" s="181" t="s">
        <v>1520</v>
      </c>
      <c r="J90" s="221">
        <f>IF(H90&gt;0,(H90*VLOOKUP(Lookups!$K$11,Lookups!$M$10:$P$43,4,0)/VLOOKUP(I90,Lookups!$M$10:$P$43,4,0)),"")</f>
        <v>1683.9241412063241</v>
      </c>
      <c r="K90" s="11"/>
      <c r="L90" s="181"/>
      <c r="M90" s="221" t="str">
        <f>IF(K90&gt;0,(K90*VLOOKUP(Lookups!$K$11,Lookups!$M$10:$P$43,4,0)/VLOOKUP(L90,Lookups!$M$10:$P$43,4,0)),"")</f>
        <v/>
      </c>
      <c r="N90" s="11"/>
      <c r="O90" s="181"/>
      <c r="P90" s="221" t="str">
        <f>IF(N90&gt;0,(N90*VLOOKUP(Lookups!$K$11,Lookups!$M$10:$P$43,4,0)/VLOOKUP(O90,Lookups!$M$10:$P$43,4,0)),"")</f>
        <v/>
      </c>
      <c r="Q90" s="143" t="s">
        <v>2800</v>
      </c>
      <c r="R90" s="181" t="s">
        <v>154</v>
      </c>
      <c r="S90" s="4" t="s">
        <v>3114</v>
      </c>
      <c r="T90" s="176" t="s">
        <v>923</v>
      </c>
      <c r="U90" s="4" t="s">
        <v>2434</v>
      </c>
    </row>
    <row r="91" spans="1:21" s="54" customFormat="1" ht="60" customHeight="1" collapsed="1" x14ac:dyDescent="0.25">
      <c r="A91" s="38" t="s">
        <v>234</v>
      </c>
      <c r="B91" s="38" t="s">
        <v>540</v>
      </c>
      <c r="C91" s="38" t="s">
        <v>87</v>
      </c>
      <c r="D91" s="38" t="s">
        <v>2146</v>
      </c>
      <c r="E91" s="12" t="s">
        <v>164</v>
      </c>
      <c r="F91" s="12" t="s">
        <v>210</v>
      </c>
      <c r="G91" s="34" t="s">
        <v>1943</v>
      </c>
      <c r="H91" s="188">
        <f>H92*7.1</f>
        <v>152.69733333333332</v>
      </c>
      <c r="I91" s="15" t="s">
        <v>1520</v>
      </c>
      <c r="J91" s="17">
        <f>IF(H91&gt;0,(H91*VLOOKUP(Lookups!$K$11,Lookups!$M$10:$P$43,4,0)/VLOOKUP(I91,Lookups!$M$10:$P$43,4,0)),"")</f>
        <v>157.26649902007898</v>
      </c>
      <c r="K91" s="188">
        <f>K92*7.1</f>
        <v>76.348666666666659</v>
      </c>
      <c r="L91" s="15" t="s">
        <v>1520</v>
      </c>
      <c r="M91" s="17">
        <f>IF(K91&gt;0,(K91*VLOOKUP(Lookups!$K$11,Lookups!$M$10:$P$43,4,0)/VLOOKUP(L91,Lookups!$M$10:$P$43,4,0)),"")</f>
        <v>78.633249510039491</v>
      </c>
      <c r="N91" s="14"/>
      <c r="O91" s="15"/>
      <c r="P91" s="17" t="str">
        <f>IF(N91&gt;0,(N91*VLOOKUP(Lookups!$K$11,Lookups!$M$10:$P$43,4,0)/VLOOKUP(O91,Lookups!$M$10:$P$43,4,0)),"")</f>
        <v/>
      </c>
      <c r="Q91" s="173" t="s">
        <v>2696</v>
      </c>
      <c r="R91" s="15" t="s">
        <v>152</v>
      </c>
      <c r="S91" s="187" t="s">
        <v>3101</v>
      </c>
      <c r="T91" s="176" t="s">
        <v>923</v>
      </c>
      <c r="U91" s="4" t="s">
        <v>2695</v>
      </c>
    </row>
    <row r="92" spans="1:21" s="54" customFormat="1" ht="60" hidden="1" customHeight="1" outlineLevel="1" x14ac:dyDescent="0.25">
      <c r="A92" s="42" t="s">
        <v>234</v>
      </c>
      <c r="B92" s="42" t="s">
        <v>540</v>
      </c>
      <c r="C92" s="42" t="s">
        <v>88</v>
      </c>
      <c r="D92" s="42" t="s">
        <v>2145</v>
      </c>
      <c r="E92" s="12" t="s">
        <v>161</v>
      </c>
      <c r="F92" s="12" t="s">
        <v>210</v>
      </c>
      <c r="G92" s="34" t="s">
        <v>1943</v>
      </c>
      <c r="H92" s="189">
        <f>(32.26/3)*2</f>
        <v>21.506666666666664</v>
      </c>
      <c r="I92" s="15" t="s">
        <v>1520</v>
      </c>
      <c r="J92" s="17">
        <f>IF(H92&gt;0,(H92*VLOOKUP(Lookups!$K$11,Lookups!$M$10:$P$43,4,0)/VLOOKUP(I92,Lookups!$M$10:$P$43,4,0)),"")</f>
        <v>22.150211129588591</v>
      </c>
      <c r="K92" s="189">
        <f>32.26/3</f>
        <v>10.753333333333332</v>
      </c>
      <c r="L92" s="15" t="s">
        <v>1520</v>
      </c>
      <c r="M92" s="17">
        <f>IF(K92&gt;0,(K92*VLOOKUP(Lookups!$K$11,Lookups!$M$10:$P$43,4,0)/VLOOKUP(L92,Lookups!$M$10:$P$43,4,0)),"")</f>
        <v>11.075105564794296</v>
      </c>
      <c r="N92" s="46"/>
      <c r="O92" s="15"/>
      <c r="P92" s="17" t="str">
        <f>IF(N92&gt;0,(N92*VLOOKUP(Lookups!$K$11,Lookups!$M$10:$P$43,4,0)/VLOOKUP(O92,Lookups!$M$10:$P$43,4,0)),"")</f>
        <v/>
      </c>
      <c r="Q92" s="173" t="s">
        <v>2696</v>
      </c>
      <c r="R92" s="15" t="s">
        <v>152</v>
      </c>
      <c r="S92" s="174" t="s">
        <v>3102</v>
      </c>
      <c r="T92" s="176" t="s">
        <v>923</v>
      </c>
      <c r="U92" s="4" t="s">
        <v>2695</v>
      </c>
    </row>
    <row r="93" spans="1:21" s="54" customFormat="1" ht="60" hidden="1" customHeight="1" outlineLevel="1" x14ac:dyDescent="0.25">
      <c r="A93" s="42" t="s">
        <v>234</v>
      </c>
      <c r="B93" s="42" t="s">
        <v>540</v>
      </c>
      <c r="C93" s="42" t="s">
        <v>89</v>
      </c>
      <c r="D93" s="42" t="s">
        <v>2144</v>
      </c>
      <c r="E93" s="12" t="s">
        <v>161</v>
      </c>
      <c r="F93" s="12" t="s">
        <v>210</v>
      </c>
      <c r="G93" s="34" t="s">
        <v>1943</v>
      </c>
      <c r="H93" s="201">
        <f>(18.44/3)*2</f>
        <v>12.293333333333335</v>
      </c>
      <c r="I93" s="15" t="s">
        <v>1520</v>
      </c>
      <c r="J93" s="17">
        <f>IF(H93&gt;0,(H93*VLOOKUP(Lookups!$K$11,Lookups!$M$10:$P$43,4,0)/VLOOKUP(I93,Lookups!$M$10:$P$43,4,0)),"")</f>
        <v>12.661187018896889</v>
      </c>
      <c r="K93" s="201">
        <f>18.44/3</f>
        <v>6.1466666666666674</v>
      </c>
      <c r="L93" s="15" t="s">
        <v>1520</v>
      </c>
      <c r="M93" s="17">
        <f>IF(K93&gt;0,(K93*VLOOKUP(Lookups!$K$11,Lookups!$M$10:$P$43,4,0)/VLOOKUP(L93,Lookups!$M$10:$P$43,4,0)),"")</f>
        <v>6.3305935094484447</v>
      </c>
      <c r="N93" s="46"/>
      <c r="O93" s="15"/>
      <c r="P93" s="17" t="str">
        <f>IF(N93&gt;0,(N93*VLOOKUP(Lookups!$K$11,Lookups!$M$10:$P$43,4,0)/VLOOKUP(O93,Lookups!$M$10:$P$43,4,0)),"")</f>
        <v/>
      </c>
      <c r="Q93" s="173" t="s">
        <v>2696</v>
      </c>
      <c r="R93" s="15" t="s">
        <v>152</v>
      </c>
      <c r="S93" s="174" t="s">
        <v>3103</v>
      </c>
      <c r="T93" s="176" t="s">
        <v>923</v>
      </c>
      <c r="U93" s="4" t="s">
        <v>2695</v>
      </c>
    </row>
    <row r="94" spans="1:21" s="54" customFormat="1" ht="60" hidden="1" customHeight="1" outlineLevel="1" x14ac:dyDescent="0.25">
      <c r="A94" s="42" t="s">
        <v>234</v>
      </c>
      <c r="B94" s="42" t="s">
        <v>540</v>
      </c>
      <c r="C94" s="42" t="s">
        <v>90</v>
      </c>
      <c r="D94" s="42" t="s">
        <v>2147</v>
      </c>
      <c r="E94" s="12" t="s">
        <v>164</v>
      </c>
      <c r="F94" s="12" t="s">
        <v>210</v>
      </c>
      <c r="G94" s="34" t="s">
        <v>1943</v>
      </c>
      <c r="H94" s="14">
        <v>301</v>
      </c>
      <c r="I94" s="15" t="s">
        <v>258</v>
      </c>
      <c r="J94" s="17">
        <f>IF(H94&gt;0,(H94*VLOOKUP(Lookups!$K$11,Lookups!$M$10:$P$43,4,0)/VLOOKUP(I94,Lookups!$M$10:$P$43,4,0)),"")</f>
        <v>348.22156646660574</v>
      </c>
      <c r="K94" s="14"/>
      <c r="L94" s="15"/>
      <c r="M94" s="17" t="str">
        <f>IF(K94&gt;0,(K94*VLOOKUP(Lookups!$K$11,Lookups!$M$10:$P$43,4,0)/VLOOKUP(L94,Lookups!$M$10:$P$43,4,0)),"")</f>
        <v/>
      </c>
      <c r="N94" s="14"/>
      <c r="O94" s="15"/>
      <c r="P94" s="17" t="str">
        <f>IF(N94&gt;0,(N94*VLOOKUP(Lookups!$K$11,Lookups!$M$10:$P$43,4,0)/VLOOKUP(O94,Lookups!$M$10:$P$43,4,0)),"")</f>
        <v/>
      </c>
      <c r="Q94" s="143" t="s">
        <v>1782</v>
      </c>
      <c r="R94" s="15" t="s">
        <v>152</v>
      </c>
      <c r="S94" s="12" t="s">
        <v>3104</v>
      </c>
      <c r="T94" s="176"/>
      <c r="U94" s="90" t="s">
        <v>2222</v>
      </c>
    </row>
    <row r="95" spans="1:21" s="54" customFormat="1" ht="60" hidden="1" customHeight="1" outlineLevel="1" x14ac:dyDescent="0.25">
      <c r="A95" s="42" t="s">
        <v>234</v>
      </c>
      <c r="B95" s="42" t="s">
        <v>540</v>
      </c>
      <c r="C95" s="42" t="s">
        <v>3074</v>
      </c>
      <c r="D95" s="42" t="s">
        <v>1779</v>
      </c>
      <c r="E95" s="12" t="s">
        <v>164</v>
      </c>
      <c r="F95" s="12" t="s">
        <v>210</v>
      </c>
      <c r="G95" s="34" t="s">
        <v>1943</v>
      </c>
      <c r="H95" s="14">
        <v>344</v>
      </c>
      <c r="I95" s="15" t="s">
        <v>258</v>
      </c>
      <c r="J95" s="17">
        <f>IF(H95&gt;0,(H95*VLOOKUP(Lookups!$K$11,Lookups!$M$10:$P$43,4,0)/VLOOKUP(I95,Lookups!$M$10:$P$43,4,0)),"")</f>
        <v>397.96750453326376</v>
      </c>
      <c r="K95" s="14"/>
      <c r="L95" s="15"/>
      <c r="M95" s="17" t="str">
        <f>IF(K95&gt;0,(K95*VLOOKUP(Lookups!$K$11,Lookups!$M$10:$P$43,4,0)/VLOOKUP(L95,Lookups!$M$10:$P$43,4,0)),"")</f>
        <v/>
      </c>
      <c r="N95" s="14"/>
      <c r="O95" s="15"/>
      <c r="P95" s="17" t="str">
        <f>IF(N95&gt;0,(N95*VLOOKUP(Lookups!$K$11,Lookups!$M$10:$P$43,4,0)/VLOOKUP(O95,Lookups!$M$10:$P$43,4,0)),"")</f>
        <v/>
      </c>
      <c r="Q95" s="143" t="s">
        <v>1783</v>
      </c>
      <c r="R95" s="15" t="s">
        <v>152</v>
      </c>
      <c r="S95" s="12" t="s">
        <v>3105</v>
      </c>
      <c r="T95" s="176"/>
      <c r="U95" s="90" t="s">
        <v>2222</v>
      </c>
    </row>
    <row r="96" spans="1:21" s="54" customFormat="1" ht="60" hidden="1" customHeight="1" outlineLevel="1" x14ac:dyDescent="0.25">
      <c r="A96" s="42" t="s">
        <v>234</v>
      </c>
      <c r="B96" s="42" t="s">
        <v>540</v>
      </c>
      <c r="C96" s="42" t="s">
        <v>3075</v>
      </c>
      <c r="D96" s="42" t="s">
        <v>1780</v>
      </c>
      <c r="E96" s="12" t="s">
        <v>164</v>
      </c>
      <c r="F96" s="12" t="s">
        <v>210</v>
      </c>
      <c r="G96" s="34" t="s">
        <v>1943</v>
      </c>
      <c r="H96" s="14">
        <v>475</v>
      </c>
      <c r="I96" s="15" t="s">
        <v>258</v>
      </c>
      <c r="J96" s="17">
        <f>IF(H96&gt;0,(H96*VLOOKUP(Lookups!$K$11,Lookups!$M$10:$P$43,4,0)/VLOOKUP(I96,Lookups!$M$10:$P$43,4,0)),"")</f>
        <v>549.51908329447758</v>
      </c>
      <c r="K96" s="14"/>
      <c r="L96" s="15"/>
      <c r="M96" s="17" t="str">
        <f>IF(K96&gt;0,(K96*VLOOKUP(Lookups!$K$11,Lookups!$M$10:$P$43,4,0)/VLOOKUP(L96,Lookups!$M$10:$P$43,4,0)),"")</f>
        <v/>
      </c>
      <c r="N96" s="14"/>
      <c r="O96" s="15"/>
      <c r="P96" s="17" t="str">
        <f>IF(N96&gt;0,(N96*VLOOKUP(Lookups!$K$11,Lookups!$M$10:$P$43,4,0)/VLOOKUP(O96,Lookups!$M$10:$P$43,4,0)),"")</f>
        <v/>
      </c>
      <c r="Q96" s="143" t="s">
        <v>1784</v>
      </c>
      <c r="R96" s="15" t="s">
        <v>152</v>
      </c>
      <c r="S96" s="12" t="s">
        <v>3106</v>
      </c>
      <c r="T96" s="176"/>
      <c r="U96" s="90" t="s">
        <v>2222</v>
      </c>
    </row>
    <row r="97" spans="1:21" s="54" customFormat="1" ht="60" hidden="1" customHeight="1" outlineLevel="1" x14ac:dyDescent="0.25">
      <c r="A97" s="42" t="s">
        <v>234</v>
      </c>
      <c r="B97" s="42" t="s">
        <v>540</v>
      </c>
      <c r="C97" s="42" t="s">
        <v>3076</v>
      </c>
      <c r="D97" s="42" t="s">
        <v>1781</v>
      </c>
      <c r="E97" s="12" t="s">
        <v>164</v>
      </c>
      <c r="F97" s="12" t="s">
        <v>210</v>
      </c>
      <c r="G97" s="34" t="s">
        <v>1943</v>
      </c>
      <c r="H97" s="14">
        <v>752</v>
      </c>
      <c r="I97" s="15" t="s">
        <v>258</v>
      </c>
      <c r="J97" s="17">
        <f>IF(H97&gt;0,(H97*VLOOKUP(Lookups!$K$11,Lookups!$M$10:$P$43,4,0)/VLOOKUP(I97,Lookups!$M$10:$P$43,4,0)),"")</f>
        <v>869.97547502620444</v>
      </c>
      <c r="K97" s="14"/>
      <c r="L97" s="15"/>
      <c r="M97" s="17" t="str">
        <f>IF(K97&gt;0,(K97*VLOOKUP(Lookups!$K$11,Lookups!$M$10:$P$43,4,0)/VLOOKUP(L97,Lookups!$M$10:$P$43,4,0)),"")</f>
        <v/>
      </c>
      <c r="N97" s="14"/>
      <c r="O97" s="15"/>
      <c r="P97" s="17" t="str">
        <f>IF(N97&gt;0,(N97*VLOOKUP(Lookups!$K$11,Lookups!$M$10:$P$43,4,0)/VLOOKUP(O97,Lookups!$M$10:$P$43,4,0)),"")</f>
        <v/>
      </c>
      <c r="Q97" s="143" t="s">
        <v>1785</v>
      </c>
      <c r="R97" s="15" t="s">
        <v>152</v>
      </c>
      <c r="S97" s="12" t="s">
        <v>3107</v>
      </c>
      <c r="T97" s="176"/>
      <c r="U97" s="90" t="s">
        <v>2222</v>
      </c>
    </row>
    <row r="98" spans="1:21" s="47" customFormat="1" ht="60" hidden="1" customHeight="1" outlineLevel="1" x14ac:dyDescent="0.25">
      <c r="A98" s="42" t="s">
        <v>234</v>
      </c>
      <c r="B98" s="42" t="s">
        <v>540</v>
      </c>
      <c r="C98" s="42" t="s">
        <v>3077</v>
      </c>
      <c r="D98" s="42" t="s">
        <v>542</v>
      </c>
      <c r="E98" s="12" t="s">
        <v>164</v>
      </c>
      <c r="F98" s="12" t="s">
        <v>210</v>
      </c>
      <c r="G98" s="34" t="s">
        <v>1943</v>
      </c>
      <c r="H98" s="14">
        <f>(46/3)*2</f>
        <v>30.666666666666668</v>
      </c>
      <c r="I98" s="15" t="s">
        <v>255</v>
      </c>
      <c r="J98" s="17">
        <f>IF(H98&gt;0,(H98*VLOOKUP(Lookups!$K$11,Lookups!$M$10:$P$43,4,0)/VLOOKUP(I98,Lookups!$M$10:$P$43,4,0)),"")</f>
        <v>36.916637101902523</v>
      </c>
      <c r="K98" s="14">
        <f>46/3</f>
        <v>15.333333333333334</v>
      </c>
      <c r="L98" s="15" t="s">
        <v>255</v>
      </c>
      <c r="M98" s="17">
        <f>IF(K98&gt;0,(K98*VLOOKUP(Lookups!$K$11,Lookups!$M$10:$P$43,4,0)/VLOOKUP(L98,Lookups!$M$10:$P$43,4,0)),"")</f>
        <v>18.458318550951262</v>
      </c>
      <c r="N98" s="14"/>
      <c r="O98" s="15"/>
      <c r="P98" s="17" t="str">
        <f>IF(N98&gt;0,(N98*VLOOKUP(Lookups!$K$11,Lookups!$M$10:$P$43,4,0)/VLOOKUP(O98,Lookups!$M$10:$P$43,4,0)),"")</f>
        <v/>
      </c>
      <c r="Q98" s="143" t="s">
        <v>1186</v>
      </c>
      <c r="R98" s="15" t="s">
        <v>152</v>
      </c>
      <c r="S98" s="12" t="s">
        <v>1194</v>
      </c>
      <c r="T98" s="134"/>
      <c r="U98" s="90" t="s">
        <v>2222</v>
      </c>
    </row>
    <row r="99" spans="1:21" s="54" customFormat="1" ht="60" hidden="1" customHeight="1" outlineLevel="1" x14ac:dyDescent="0.25">
      <c r="A99" s="42" t="s">
        <v>234</v>
      </c>
      <c r="B99" s="42" t="s">
        <v>237</v>
      </c>
      <c r="C99" s="42" t="s">
        <v>3078</v>
      </c>
      <c r="D99" s="42" t="s">
        <v>2050</v>
      </c>
      <c r="E99" s="12" t="s">
        <v>148</v>
      </c>
      <c r="F99" s="12" t="s">
        <v>210</v>
      </c>
      <c r="G99" s="34" t="s">
        <v>1943</v>
      </c>
      <c r="H99" s="189">
        <v>2256</v>
      </c>
      <c r="I99" s="15" t="s">
        <v>261</v>
      </c>
      <c r="J99" s="17">
        <f>IF(H99&gt;0,(H99*VLOOKUP(Lookups!$K$11,Lookups!$M$10:$P$43,4,0)/VLOOKUP(I99,Lookups!$M$10:$P$43,4,0)),"")</f>
        <v>2459.1072715811665</v>
      </c>
      <c r="K99" s="46"/>
      <c r="L99" s="15"/>
      <c r="M99" s="17" t="str">
        <f>IF(K99&gt;0,(K99*VLOOKUP(Lookups!$K$11,Lookups!$M$10:$P$43,4,0)/VLOOKUP(L99,Lookups!$M$10:$P$43,4,0)),"")</f>
        <v/>
      </c>
      <c r="N99" s="46"/>
      <c r="O99" s="15"/>
      <c r="P99" s="17" t="str">
        <f>IF(N99&gt;0,(N99*VLOOKUP(Lookups!$K$11,Lookups!$M$10:$P$43,4,0)/VLOOKUP(O99,Lookups!$M$10:$P$43,4,0)),"")</f>
        <v/>
      </c>
      <c r="Q99" s="173" t="s">
        <v>2118</v>
      </c>
      <c r="R99" s="15" t="s">
        <v>154</v>
      </c>
      <c r="S99" s="107" t="s">
        <v>2802</v>
      </c>
      <c r="T99" s="176" t="s">
        <v>923</v>
      </c>
      <c r="U99" s="4" t="s">
        <v>2140</v>
      </c>
    </row>
    <row r="100" spans="1:21" s="54" customFormat="1" ht="60" hidden="1" customHeight="1" outlineLevel="1" x14ac:dyDescent="0.25">
      <c r="A100" s="42" t="s">
        <v>234</v>
      </c>
      <c r="B100" s="42" t="s">
        <v>237</v>
      </c>
      <c r="C100" s="42" t="s">
        <v>3079</v>
      </c>
      <c r="D100" s="42" t="s">
        <v>2051</v>
      </c>
      <c r="E100" s="12" t="s">
        <v>148</v>
      </c>
      <c r="F100" s="12" t="s">
        <v>210</v>
      </c>
      <c r="G100" s="34" t="s">
        <v>1943</v>
      </c>
      <c r="H100" s="189">
        <v>370</v>
      </c>
      <c r="I100" s="15" t="s">
        <v>261</v>
      </c>
      <c r="J100" s="17">
        <f>IF(H100&gt;0,(H100*VLOOKUP(Lookups!$K$11,Lookups!$M$10:$P$43,4,0)/VLOOKUP(I100,Lookups!$M$10:$P$43,4,0)),"")</f>
        <v>403.31103301641474</v>
      </c>
      <c r="K100" s="46"/>
      <c r="L100" s="15"/>
      <c r="M100" s="17" t="str">
        <f>IF(K100&gt;0,(K100*VLOOKUP(Lookups!$K$11,Lookups!$M$10:$P$43,4,0)/VLOOKUP(L100,Lookups!$M$10:$P$43,4,0)),"")</f>
        <v/>
      </c>
      <c r="N100" s="46"/>
      <c r="O100" s="15"/>
      <c r="P100" s="17" t="str">
        <f>IF(N100&gt;0,(N100*VLOOKUP(Lookups!$K$11,Lookups!$M$10:$P$43,4,0)/VLOOKUP(O100,Lookups!$M$10:$P$43,4,0)),"")</f>
        <v/>
      </c>
      <c r="Q100" s="173" t="s">
        <v>2119</v>
      </c>
      <c r="R100" s="15" t="s">
        <v>154</v>
      </c>
      <c r="S100" s="107" t="s">
        <v>2803</v>
      </c>
      <c r="T100" s="176" t="s">
        <v>923</v>
      </c>
      <c r="U100" s="4" t="s">
        <v>2140</v>
      </c>
    </row>
    <row r="101" spans="1:21" s="54" customFormat="1" ht="60" hidden="1" customHeight="1" outlineLevel="1" x14ac:dyDescent="0.25">
      <c r="A101" s="157" t="s">
        <v>234</v>
      </c>
      <c r="B101" s="42" t="s">
        <v>237</v>
      </c>
      <c r="C101" s="42" t="s">
        <v>3080</v>
      </c>
      <c r="D101" s="42" t="s">
        <v>2052</v>
      </c>
      <c r="E101" s="12" t="s">
        <v>148</v>
      </c>
      <c r="F101" s="12" t="s">
        <v>210</v>
      </c>
      <c r="G101" s="34" t="s">
        <v>1943</v>
      </c>
      <c r="H101" s="189">
        <v>49</v>
      </c>
      <c r="I101" s="15" t="s">
        <v>261</v>
      </c>
      <c r="J101" s="17">
        <f>IF(H101&gt;0,(H101*VLOOKUP(Lookups!$K$11,Lookups!$M$10:$P$43,4,0)/VLOOKUP(I101,Lookups!$M$10:$P$43,4,0)),"")</f>
        <v>53.411461129200866</v>
      </c>
      <c r="K101" s="46"/>
      <c r="L101" s="15"/>
      <c r="M101" s="17" t="str">
        <f>IF(K101&gt;0,(K101*VLOOKUP(Lookups!$K$11,Lookups!$M$10:$P$43,4,0)/VLOOKUP(L101,Lookups!$M$10:$P$43,4,0)),"")</f>
        <v/>
      </c>
      <c r="N101" s="46"/>
      <c r="O101" s="15"/>
      <c r="P101" s="17" t="str">
        <f>IF(N101&gt;0,(N101*VLOOKUP(Lookups!$K$11,Lookups!$M$10:$P$43,4,0)/VLOOKUP(O101,Lookups!$M$10:$P$43,4,0)),"")</f>
        <v/>
      </c>
      <c r="Q101" s="173" t="s">
        <v>2119</v>
      </c>
      <c r="R101" s="15" t="s">
        <v>154</v>
      </c>
      <c r="S101" s="107" t="s">
        <v>2804</v>
      </c>
      <c r="T101" s="176" t="s">
        <v>923</v>
      </c>
      <c r="U101" s="4" t="s">
        <v>2140</v>
      </c>
    </row>
    <row r="102" spans="1:21" s="54" customFormat="1" ht="60" hidden="1" customHeight="1" outlineLevel="1" x14ac:dyDescent="0.25">
      <c r="A102" s="42" t="s">
        <v>234</v>
      </c>
      <c r="B102" s="42" t="s">
        <v>237</v>
      </c>
      <c r="C102" s="42" t="s">
        <v>3081</v>
      </c>
      <c r="D102" s="42" t="s">
        <v>543</v>
      </c>
      <c r="E102" s="12" t="s">
        <v>148</v>
      </c>
      <c r="F102" s="12" t="s">
        <v>210</v>
      </c>
      <c r="G102" s="34" t="s">
        <v>1943</v>
      </c>
      <c r="H102" s="46">
        <v>2651</v>
      </c>
      <c r="I102" s="15" t="s">
        <v>197</v>
      </c>
      <c r="J102" s="17">
        <f>IF(H102&gt;0,(H102*VLOOKUP(Lookups!$K$11,Lookups!$M$10:$P$43,4,0)/VLOOKUP(I102,Lookups!$M$10:$P$43,4,0)),"")</f>
        <v>3330.2043877194528</v>
      </c>
      <c r="K102" s="46"/>
      <c r="L102" s="15"/>
      <c r="M102" s="17" t="str">
        <f>IF(K102&gt;0,(K102*VLOOKUP(Lookups!$K$11,Lookups!$M$10:$P$43,4,0)/VLOOKUP(L102,Lookups!$M$10:$P$43,4,0)),"")</f>
        <v/>
      </c>
      <c r="N102" s="46"/>
      <c r="O102" s="15"/>
      <c r="P102" s="17" t="str">
        <f>IF(N102&gt;0,(N102*VLOOKUP(Lookups!$K$11,Lookups!$M$10:$P$43,4,0)/VLOOKUP(O102,Lookups!$M$10:$P$43,4,0)),"")</f>
        <v/>
      </c>
      <c r="Q102" s="143" t="s">
        <v>2120</v>
      </c>
      <c r="R102" s="15" t="s">
        <v>149</v>
      </c>
      <c r="S102" s="12" t="s">
        <v>2121</v>
      </c>
      <c r="T102" s="176" t="s">
        <v>923</v>
      </c>
      <c r="U102" s="140" t="s">
        <v>2148</v>
      </c>
    </row>
    <row r="103" spans="1:21" s="54" customFormat="1" ht="60" hidden="1" customHeight="1" outlineLevel="1" x14ac:dyDescent="0.25">
      <c r="A103" s="42" t="s">
        <v>234</v>
      </c>
      <c r="B103" s="42" t="s">
        <v>237</v>
      </c>
      <c r="C103" s="42" t="s">
        <v>3082</v>
      </c>
      <c r="D103" s="42" t="s">
        <v>544</v>
      </c>
      <c r="E103" s="12" t="s">
        <v>148</v>
      </c>
      <c r="F103" s="12" t="s">
        <v>210</v>
      </c>
      <c r="G103" s="34" t="s">
        <v>1943</v>
      </c>
      <c r="H103" s="46">
        <v>676</v>
      </c>
      <c r="I103" s="15" t="s">
        <v>197</v>
      </c>
      <c r="J103" s="17">
        <f>IF(H103&gt;0,(H103*VLOOKUP(Lookups!$K$11,Lookups!$M$10:$P$43,4,0)/VLOOKUP(I103,Lookups!$M$10:$P$43,4,0)),"")</f>
        <v>849.19583783415692</v>
      </c>
      <c r="K103" s="46"/>
      <c r="L103" s="15"/>
      <c r="M103" s="17" t="str">
        <f>IF(K103&gt;0,(K103*VLOOKUP(Lookups!$K$11,Lookups!$M$10:$P$43,4,0)/VLOOKUP(L103,Lookups!$M$10:$P$43,4,0)),"")</f>
        <v/>
      </c>
      <c r="N103" s="46"/>
      <c r="O103" s="15"/>
      <c r="P103" s="17" t="str">
        <f>IF(N103&gt;0,(N103*VLOOKUP(Lookups!$K$11,Lookups!$M$10:$P$43,4,0)/VLOOKUP(O103,Lookups!$M$10:$P$43,4,0)),"")</f>
        <v/>
      </c>
      <c r="Q103" s="143" t="s">
        <v>2120</v>
      </c>
      <c r="R103" s="15" t="s">
        <v>149</v>
      </c>
      <c r="S103" s="12" t="s">
        <v>2122</v>
      </c>
      <c r="T103" s="176" t="s">
        <v>923</v>
      </c>
      <c r="U103" s="140" t="s">
        <v>2148</v>
      </c>
    </row>
    <row r="104" spans="1:21" s="54" customFormat="1" ht="60" hidden="1" customHeight="1" outlineLevel="1" x14ac:dyDescent="0.25">
      <c r="A104" s="42" t="s">
        <v>234</v>
      </c>
      <c r="B104" s="42" t="s">
        <v>237</v>
      </c>
      <c r="C104" s="42" t="s">
        <v>3083</v>
      </c>
      <c r="D104" s="42" t="s">
        <v>2806</v>
      </c>
      <c r="E104" s="12" t="s">
        <v>167</v>
      </c>
      <c r="F104" s="12" t="s">
        <v>162</v>
      </c>
      <c r="G104" s="12" t="s">
        <v>23</v>
      </c>
      <c r="H104" s="189">
        <v>481</v>
      </c>
      <c r="I104" s="15" t="s">
        <v>1520</v>
      </c>
      <c r="J104" s="17">
        <f>IF(H104&gt;0,(H104*VLOOKUP(Lookups!$K$11,Lookups!$M$10:$P$43,4,0)/VLOOKUP(I104,Lookups!$M$10:$P$43,4,0)),"")</f>
        <v>495.39297365152413</v>
      </c>
      <c r="K104" s="46"/>
      <c r="L104" s="15"/>
      <c r="M104" s="17" t="str">
        <f>IF(K104&gt;0,(K104*VLOOKUP(Lookups!$K$11,Lookups!$M$10:$P$43,4,0)/VLOOKUP(L104,Lookups!$M$10:$P$43,4,0)),"")</f>
        <v/>
      </c>
      <c r="N104" s="46"/>
      <c r="O104" s="15"/>
      <c r="P104" s="17" t="str">
        <f>IF(N104&gt;0,(N104*VLOOKUP(Lookups!$K$11,Lookups!$M$10:$P$43,4,0)/VLOOKUP(O104,Lookups!$M$10:$P$43,4,0)),"")</f>
        <v/>
      </c>
      <c r="Q104" s="143" t="s">
        <v>2805</v>
      </c>
      <c r="R104" s="15" t="s">
        <v>154</v>
      </c>
      <c r="S104" s="107" t="s">
        <v>2807</v>
      </c>
      <c r="T104" s="176" t="s">
        <v>923</v>
      </c>
      <c r="U104" s="4" t="s">
        <v>2434</v>
      </c>
    </row>
    <row r="105" spans="1:21" s="54" customFormat="1" ht="60" hidden="1" customHeight="1" outlineLevel="1" x14ac:dyDescent="0.25">
      <c r="A105" s="42" t="s">
        <v>234</v>
      </c>
      <c r="B105" s="42" t="s">
        <v>237</v>
      </c>
      <c r="C105" s="42" t="s">
        <v>3084</v>
      </c>
      <c r="D105" s="42" t="s">
        <v>2808</v>
      </c>
      <c r="E105" s="12" t="s">
        <v>167</v>
      </c>
      <c r="F105" s="12" t="s">
        <v>162</v>
      </c>
      <c r="G105" s="12" t="s">
        <v>23</v>
      </c>
      <c r="H105" s="172">
        <v>209</v>
      </c>
      <c r="I105" s="15" t="s">
        <v>1520</v>
      </c>
      <c r="J105" s="17">
        <f>IF(H105&gt;0,(H105*VLOOKUP(Lookups!$K$11,Lookups!$M$10:$P$43,4,0)/VLOOKUP(I105,Lookups!$M$10:$P$43,4,0)),"")</f>
        <v>215.25391162820901</v>
      </c>
      <c r="K105" s="14"/>
      <c r="L105" s="15"/>
      <c r="M105" s="17" t="str">
        <f>IF(K105&gt;0,(K105*VLOOKUP(Lookups!$K$11,Lookups!$M$10:$P$43,4,0)/VLOOKUP(L105,Lookups!$M$10:$P$43,4,0)),"")</f>
        <v/>
      </c>
      <c r="N105" s="14"/>
      <c r="O105" s="15"/>
      <c r="P105" s="17" t="str">
        <f>IF(N105&gt;0,(N105*VLOOKUP(Lookups!$K$11,Lookups!$M$10:$P$43,4,0)/VLOOKUP(O105,Lookups!$M$10:$P$43,4,0)),"")</f>
        <v/>
      </c>
      <c r="Q105" s="143" t="s">
        <v>2805</v>
      </c>
      <c r="R105" s="15" t="s">
        <v>154</v>
      </c>
      <c r="S105" s="107" t="s">
        <v>2810</v>
      </c>
      <c r="T105" s="176" t="s">
        <v>923</v>
      </c>
      <c r="U105" s="4" t="s">
        <v>2434</v>
      </c>
    </row>
    <row r="106" spans="1:21" s="54" customFormat="1" ht="60" hidden="1" customHeight="1" outlineLevel="1" x14ac:dyDescent="0.25">
      <c r="A106" s="42" t="s">
        <v>234</v>
      </c>
      <c r="B106" s="42" t="s">
        <v>237</v>
      </c>
      <c r="C106" s="42" t="s">
        <v>3085</v>
      </c>
      <c r="D106" s="42" t="s">
        <v>2809</v>
      </c>
      <c r="E106" s="12" t="s">
        <v>167</v>
      </c>
      <c r="F106" s="12" t="s">
        <v>162</v>
      </c>
      <c r="G106" s="12" t="s">
        <v>23</v>
      </c>
      <c r="H106" s="189">
        <v>103</v>
      </c>
      <c r="I106" s="15" t="s">
        <v>1520</v>
      </c>
      <c r="J106" s="17">
        <f>IF(H106&gt;0,(H106*VLOOKUP(Lookups!$K$11,Lookups!$M$10:$P$43,4,0)/VLOOKUP(I106,Lookups!$M$10:$P$43,4,0)),"")</f>
        <v>106.0820712808877</v>
      </c>
      <c r="K106" s="46"/>
      <c r="L106" s="15"/>
      <c r="M106" s="17" t="str">
        <f>IF(K106&gt;0,(K106*VLOOKUP(Lookups!$K$11,Lookups!$M$10:$P$43,4,0)/VLOOKUP(L106,Lookups!$M$10:$P$43,4,0)),"")</f>
        <v/>
      </c>
      <c r="N106" s="46"/>
      <c r="O106" s="15"/>
      <c r="P106" s="17" t="str">
        <f>IF(N106&gt;0,(N106*VLOOKUP(Lookups!$K$11,Lookups!$M$10:$P$43,4,0)/VLOOKUP(O106,Lookups!$M$10:$P$43,4,0)),"")</f>
        <v/>
      </c>
      <c r="Q106" s="143" t="s">
        <v>2805</v>
      </c>
      <c r="R106" s="15" t="s">
        <v>154</v>
      </c>
      <c r="S106" s="107" t="s">
        <v>2811</v>
      </c>
      <c r="T106" s="176" t="s">
        <v>923</v>
      </c>
      <c r="U106" s="4" t="s">
        <v>2434</v>
      </c>
    </row>
    <row r="107" spans="1:21" s="54" customFormat="1" ht="60" customHeight="1" collapsed="1" x14ac:dyDescent="0.25">
      <c r="A107" s="48" t="s">
        <v>234</v>
      </c>
      <c r="B107" s="48" t="s">
        <v>540</v>
      </c>
      <c r="C107" s="48" t="s">
        <v>91</v>
      </c>
      <c r="D107" s="39" t="s">
        <v>2812</v>
      </c>
      <c r="E107" s="12" t="s">
        <v>153</v>
      </c>
      <c r="F107" s="12" t="s">
        <v>210</v>
      </c>
      <c r="G107" s="34" t="s">
        <v>1943</v>
      </c>
      <c r="H107" s="11">
        <f>(50/3)*2</f>
        <v>33.333333333333336</v>
      </c>
      <c r="I107" s="15" t="s">
        <v>1520</v>
      </c>
      <c r="J107" s="17">
        <f>IF(H107&gt;0,(H107*VLOOKUP(Lookups!$K$11,Lookups!$M$10:$P$43,4,0)/VLOOKUP(I107,Lookups!$M$10:$P$43,4,0)),"")</f>
        <v>34.330767404818026</v>
      </c>
      <c r="K107" s="14">
        <f>50/3</f>
        <v>16.666666666666668</v>
      </c>
      <c r="L107" s="15" t="s">
        <v>1520</v>
      </c>
      <c r="M107" s="17">
        <f>IF(K107&gt;0,(K107*VLOOKUP(Lookups!$K$11,Lookups!$M$10:$P$43,4,0)/VLOOKUP(L107,Lookups!$M$10:$P$43,4,0)),"")</f>
        <v>17.165383702409013</v>
      </c>
      <c r="N107" s="14"/>
      <c r="O107" s="15"/>
      <c r="P107" s="17" t="str">
        <f>IF(N107&gt;0,(N107*VLOOKUP(Lookups!$K$11,Lookups!$M$10:$P$43,4,0)/VLOOKUP(O107,Lookups!$M$10:$P$43,4,0)),"")</f>
        <v/>
      </c>
      <c r="Q107" s="143" t="s">
        <v>2813</v>
      </c>
      <c r="R107" s="15" t="s">
        <v>154</v>
      </c>
      <c r="S107" s="4" t="s">
        <v>3108</v>
      </c>
      <c r="T107" s="176" t="s">
        <v>923</v>
      </c>
      <c r="U107" s="4" t="s">
        <v>2434</v>
      </c>
    </row>
    <row r="108" spans="1:21" s="53" customFormat="1" ht="60" hidden="1" customHeight="1" outlineLevel="1" x14ac:dyDescent="0.25">
      <c r="A108" s="42" t="s">
        <v>219</v>
      </c>
      <c r="B108" s="42" t="s">
        <v>540</v>
      </c>
      <c r="C108" s="42" t="s">
        <v>1770</v>
      </c>
      <c r="D108" s="42" t="s">
        <v>2743</v>
      </c>
      <c r="E108" s="4" t="s">
        <v>705</v>
      </c>
      <c r="F108" s="4" t="s">
        <v>210</v>
      </c>
      <c r="G108" s="4" t="s">
        <v>631</v>
      </c>
      <c r="H108" s="193">
        <v>39</v>
      </c>
      <c r="I108" s="181" t="s">
        <v>1520</v>
      </c>
      <c r="J108" s="221">
        <f>IF(H108&gt;0,(H108*VLOOKUP(Lookups!$K$11,Lookups!$M$10:$P$43,4,0)/VLOOKUP(I108,Lookups!$M$10:$P$43,4,0)),"")</f>
        <v>40.166997863637093</v>
      </c>
      <c r="K108" s="11"/>
      <c r="L108" s="181"/>
      <c r="M108" s="221" t="str">
        <f>IF(K108&gt;0,(K108*VLOOKUP(Lookups!$K$11,Lookups!$M$10:$P$43,4,0)/VLOOKUP(L108,Lookups!$M$10:$P$43,4,0)),"")</f>
        <v/>
      </c>
      <c r="N108" s="11"/>
      <c r="O108" s="181"/>
      <c r="P108" s="221" t="str">
        <f>IF(N108&gt;0,(N108*VLOOKUP(Lookups!$K$11,Lookups!$M$10:$P$43,4,0)/VLOOKUP(O108,Lookups!$M$10:$P$43,4,0)),"")</f>
        <v/>
      </c>
      <c r="Q108" s="173" t="s">
        <v>2426</v>
      </c>
      <c r="R108" s="181" t="s">
        <v>154</v>
      </c>
      <c r="S108" s="174" t="s">
        <v>2762</v>
      </c>
      <c r="T108" s="176" t="s">
        <v>923</v>
      </c>
      <c r="U108" s="90" t="s">
        <v>2407</v>
      </c>
    </row>
    <row r="109" spans="1:21" s="54" customFormat="1" ht="60" hidden="1" customHeight="1" outlineLevel="1" x14ac:dyDescent="0.25">
      <c r="A109" s="42" t="s">
        <v>234</v>
      </c>
      <c r="B109" s="42" t="s">
        <v>540</v>
      </c>
      <c r="C109" s="42" t="s">
        <v>1771</v>
      </c>
      <c r="D109" s="42" t="s">
        <v>82</v>
      </c>
      <c r="E109" s="12" t="s">
        <v>164</v>
      </c>
      <c r="F109" s="12" t="s">
        <v>210</v>
      </c>
      <c r="G109" s="34" t="s">
        <v>1943</v>
      </c>
      <c r="H109" s="14">
        <f>137.6/3*2</f>
        <v>91.733333333333334</v>
      </c>
      <c r="I109" s="15" t="s">
        <v>255</v>
      </c>
      <c r="J109" s="17">
        <f>IF(H109&gt;0,(H109*VLOOKUP(Lookups!$K$11,Lookups!$M$10:$P$43,4,0)/VLOOKUP(I109,Lookups!$M$10:$P$43,4,0)),"")</f>
        <v>110.42889707003886</v>
      </c>
      <c r="K109" s="14">
        <f>137.6/3</f>
        <v>45.866666666666667</v>
      </c>
      <c r="L109" s="15" t="s">
        <v>255</v>
      </c>
      <c r="M109" s="17">
        <f>IF(K109&gt;0,(K109*VLOOKUP(Lookups!$K$11,Lookups!$M$10:$P$43,4,0)/VLOOKUP(L109,Lookups!$M$10:$P$43,4,0)),"")</f>
        <v>55.214448535019429</v>
      </c>
      <c r="N109" s="14"/>
      <c r="O109" s="15"/>
      <c r="P109" s="17" t="str">
        <f>IF(N109&gt;0,(N109*VLOOKUP(Lookups!$K$11,Lookups!$M$10:$P$43,4,0)/VLOOKUP(O109,Lookups!$M$10:$P$43,4,0)),"")</f>
        <v/>
      </c>
      <c r="Q109" s="234" t="s">
        <v>1131</v>
      </c>
      <c r="R109" s="15" t="s">
        <v>152</v>
      </c>
      <c r="S109" s="43" t="s">
        <v>75</v>
      </c>
      <c r="T109" s="134"/>
      <c r="U109" s="4" t="s">
        <v>2149</v>
      </c>
    </row>
    <row r="110" spans="1:21" s="54" customFormat="1" ht="60" hidden="1" customHeight="1" outlineLevel="1" x14ac:dyDescent="0.25">
      <c r="A110" s="42" t="s">
        <v>234</v>
      </c>
      <c r="B110" s="42" t="s">
        <v>540</v>
      </c>
      <c r="C110" s="42" t="s">
        <v>1772</v>
      </c>
      <c r="D110" s="42" t="s">
        <v>84</v>
      </c>
      <c r="E110" s="12" t="s">
        <v>164</v>
      </c>
      <c r="F110" s="12" t="s">
        <v>210</v>
      </c>
      <c r="G110" s="34" t="s">
        <v>1943</v>
      </c>
      <c r="H110" s="14">
        <f>226.6/3*2</f>
        <v>151.06666666666666</v>
      </c>
      <c r="I110" s="15" t="s">
        <v>255</v>
      </c>
      <c r="J110" s="17">
        <f>IF(H110&gt;0,(H110*VLOOKUP(Lookups!$K$11,Lookups!$M$10:$P$43,4,0)/VLOOKUP(I110,Lookups!$M$10:$P$43,4,0)),"")</f>
        <v>181.8545645063285</v>
      </c>
      <c r="K110" s="14">
        <f>226.6/3</f>
        <v>75.533333333333331</v>
      </c>
      <c r="L110" s="15" t="s">
        <v>255</v>
      </c>
      <c r="M110" s="17">
        <f>IF(K110&gt;0,(K110*VLOOKUP(Lookups!$K$11,Lookups!$M$10:$P$43,4,0)/VLOOKUP(L110,Lookups!$M$10:$P$43,4,0)),"")</f>
        <v>90.92728225316425</v>
      </c>
      <c r="N110" s="14"/>
      <c r="O110" s="15"/>
      <c r="P110" s="17" t="str">
        <f>IF(N110&gt;0,(N110*VLOOKUP(Lookups!$K$11,Lookups!$M$10:$P$43,4,0)/VLOOKUP(O110,Lookups!$M$10:$P$43,4,0)),"")</f>
        <v/>
      </c>
      <c r="Q110" s="234" t="s">
        <v>1131</v>
      </c>
      <c r="R110" s="15" t="s">
        <v>152</v>
      </c>
      <c r="S110" s="43" t="s">
        <v>3109</v>
      </c>
      <c r="T110" s="134"/>
      <c r="U110" s="4" t="s">
        <v>2149</v>
      </c>
    </row>
    <row r="111" spans="1:21" s="53" customFormat="1" ht="60" hidden="1" customHeight="1" outlineLevel="1" x14ac:dyDescent="0.25">
      <c r="A111" s="50" t="s">
        <v>219</v>
      </c>
      <c r="B111" s="50" t="s">
        <v>230</v>
      </c>
      <c r="C111" s="50" t="s">
        <v>3086</v>
      </c>
      <c r="D111" s="50" t="s">
        <v>2744</v>
      </c>
      <c r="E111" s="4" t="s">
        <v>705</v>
      </c>
      <c r="F111" s="4" t="s">
        <v>210</v>
      </c>
      <c r="G111" s="4" t="s">
        <v>631</v>
      </c>
      <c r="H111" s="193">
        <v>38</v>
      </c>
      <c r="I111" s="181" t="s">
        <v>1520</v>
      </c>
      <c r="J111" s="221">
        <f>IF(H111&gt;0,(H111*VLOOKUP(Lookups!$K$11,Lookups!$M$10:$P$43,4,0)/VLOOKUP(I111,Lookups!$M$10:$P$43,4,0)),"")</f>
        <v>39.137074841492556</v>
      </c>
      <c r="K111" s="11"/>
      <c r="L111" s="181"/>
      <c r="M111" s="221" t="str">
        <f>IF(K111&gt;0,(K111*VLOOKUP(Lookups!$K$11,Lookups!$M$10:$P$43,4,0)/VLOOKUP(L111,Lookups!$M$10:$P$43,4,0)),"")</f>
        <v/>
      </c>
      <c r="N111" s="11"/>
      <c r="O111" s="181"/>
      <c r="P111" s="248" t="str">
        <f>IF(N111&gt;0,(N111*VLOOKUP(Lookups!$K$11,Lookups!$M$10:$P$43,4,0)/VLOOKUP(O111,Lookups!$M$10:$P$43,4,0)),"")</f>
        <v/>
      </c>
      <c r="Q111" s="250" t="s">
        <v>2425</v>
      </c>
      <c r="R111" s="181" t="s">
        <v>154</v>
      </c>
      <c r="S111" s="174" t="s">
        <v>2745</v>
      </c>
      <c r="T111" s="176" t="s">
        <v>923</v>
      </c>
      <c r="U111" s="90" t="s">
        <v>2407</v>
      </c>
    </row>
    <row r="112" spans="1:21" s="36" customFormat="1" ht="60" customHeight="1" collapsed="1" x14ac:dyDescent="0.25">
      <c r="A112" s="38" t="s">
        <v>234</v>
      </c>
      <c r="B112" s="38" t="s">
        <v>238</v>
      </c>
      <c r="C112" s="38" t="s">
        <v>718</v>
      </c>
      <c r="D112" s="38" t="s">
        <v>92</v>
      </c>
      <c r="E112" s="12" t="s">
        <v>692</v>
      </c>
      <c r="F112" s="12" t="s">
        <v>243</v>
      </c>
      <c r="G112" s="4"/>
      <c r="H112" s="14">
        <v>952</v>
      </c>
      <c r="I112" s="15" t="s">
        <v>194</v>
      </c>
      <c r="J112" s="17">
        <f>IF(H112&gt;0,(H112*VLOOKUP(Lookups!$K$11,Lookups!$M$10:$P$43,4,0)/VLOOKUP(I112,Lookups!$M$10:$P$43,4,0)),"")</f>
        <v>1253.61099801968</v>
      </c>
      <c r="K112" s="14"/>
      <c r="L112" s="15"/>
      <c r="M112" s="17" t="str">
        <f>IF(K112&gt;0,(K112*VLOOKUP(Lookups!$K$11,Lookups!$M$10:$P$43,4,0)/VLOOKUP(L112,Lookups!$M$10:$P$43,4,0)),"")</f>
        <v/>
      </c>
      <c r="N112" s="14"/>
      <c r="O112" s="15"/>
      <c r="P112" s="17" t="str">
        <f>IF(N112&gt;0,(N112*VLOOKUP(Lookups!$K$11,Lookups!$M$10:$P$43,4,0)/VLOOKUP(O112,Lookups!$M$10:$P$43,4,0)),"")</f>
        <v/>
      </c>
      <c r="Q112" s="82" t="s">
        <v>691</v>
      </c>
      <c r="R112" s="15" t="s">
        <v>149</v>
      </c>
      <c r="S112" s="4" t="s">
        <v>93</v>
      </c>
      <c r="T112" s="134"/>
      <c r="U112" s="12"/>
    </row>
    <row r="113" spans="1:21" s="47" customFormat="1" ht="60" hidden="1" customHeight="1" outlineLevel="1" x14ac:dyDescent="0.25">
      <c r="A113" s="42" t="s">
        <v>234</v>
      </c>
      <c r="B113" s="42" t="s">
        <v>238</v>
      </c>
      <c r="C113" s="42" t="s">
        <v>1773</v>
      </c>
      <c r="D113" s="42" t="s">
        <v>94</v>
      </c>
      <c r="E113" s="12" t="s">
        <v>692</v>
      </c>
      <c r="F113" s="4" t="s">
        <v>243</v>
      </c>
      <c r="G113" s="4"/>
      <c r="H113" s="14">
        <v>2078</v>
      </c>
      <c r="I113" s="15" t="s">
        <v>194</v>
      </c>
      <c r="J113" s="17">
        <f>IF(H113&gt;0,(H113*VLOOKUP(Lookups!$K$11,Lookups!$M$10:$P$43,4,0)/VLOOKUP(I113,Lookups!$M$10:$P$43,4,0)),"")</f>
        <v>2736.3483759295113</v>
      </c>
      <c r="K113" s="14"/>
      <c r="L113" s="15"/>
      <c r="M113" s="17" t="str">
        <f>IF(K113&gt;0,(K113*VLOOKUP(Lookups!$K$11,Lookups!$M$10:$P$43,4,0)/VLOOKUP(L113,Lookups!$M$10:$P$43,4,0)),"")</f>
        <v/>
      </c>
      <c r="N113" s="14"/>
      <c r="O113" s="15"/>
      <c r="P113" s="17" t="str">
        <f>IF(N113&gt;0,(N113*VLOOKUP(Lookups!$K$11,Lookups!$M$10:$P$43,4,0)/VLOOKUP(O113,Lookups!$M$10:$P$43,4,0)),"")</f>
        <v/>
      </c>
      <c r="Q113" s="82" t="s">
        <v>691</v>
      </c>
      <c r="R113" s="15" t="s">
        <v>149</v>
      </c>
      <c r="S113" s="4" t="s">
        <v>95</v>
      </c>
      <c r="T113" s="177"/>
      <c r="U113" s="91"/>
    </row>
    <row r="114" spans="1:21" s="47" customFormat="1" ht="60" hidden="1" customHeight="1" outlineLevel="1" x14ac:dyDescent="0.25">
      <c r="A114" s="42" t="s">
        <v>234</v>
      </c>
      <c r="B114" s="42" t="s">
        <v>238</v>
      </c>
      <c r="C114" s="42" t="s">
        <v>1774</v>
      </c>
      <c r="D114" s="42" t="s">
        <v>924</v>
      </c>
      <c r="E114" s="12" t="s">
        <v>665</v>
      </c>
      <c r="F114" s="12" t="s">
        <v>210</v>
      </c>
      <c r="G114" s="4" t="s">
        <v>150</v>
      </c>
      <c r="H114" s="14">
        <v>1869</v>
      </c>
      <c r="I114" s="15" t="s">
        <v>255</v>
      </c>
      <c r="J114" s="17">
        <f>IF(H114&gt;0,(H114*VLOOKUP(Lookups!$K$11,Lookups!$M$10:$P$43,4,0)/VLOOKUP(I114,Lookups!$M$10:$P$43,4,0)),"")</f>
        <v>2249.9085242431242</v>
      </c>
      <c r="K114" s="14"/>
      <c r="L114" s="15"/>
      <c r="M114" s="17" t="str">
        <f>IF(K114&gt;0,(K114*VLOOKUP(Lookups!$K$11,Lookups!$M$10:$P$43,4,0)/VLOOKUP(L114,Lookups!$M$10:$P$43,4,0)),"")</f>
        <v/>
      </c>
      <c r="N114" s="14"/>
      <c r="O114" s="15"/>
      <c r="P114" s="17" t="str">
        <f>IF(N114&gt;0,(N114*VLOOKUP(Lookups!$K$11,Lookups!$M$10:$P$43,4,0)/VLOOKUP(O114,Lookups!$M$10:$P$43,4,0)),"")</f>
        <v/>
      </c>
      <c r="Q114" s="143" t="s">
        <v>1195</v>
      </c>
      <c r="R114" s="15" t="s">
        <v>152</v>
      </c>
      <c r="S114" s="12" t="s">
        <v>1196</v>
      </c>
      <c r="T114" s="176"/>
      <c r="U114" s="90" t="s">
        <v>2222</v>
      </c>
    </row>
    <row r="115" spans="1:21" s="36" customFormat="1" ht="60" hidden="1" customHeight="1" outlineLevel="1" collapsed="1" x14ac:dyDescent="0.25">
      <c r="A115" s="42" t="s">
        <v>234</v>
      </c>
      <c r="B115" s="42" t="s">
        <v>238</v>
      </c>
      <c r="C115" s="42" t="s">
        <v>1775</v>
      </c>
      <c r="D115" s="42" t="s">
        <v>76</v>
      </c>
      <c r="E115" s="12" t="s">
        <v>570</v>
      </c>
      <c r="F115" s="12" t="s">
        <v>147</v>
      </c>
      <c r="G115" s="12" t="s">
        <v>162</v>
      </c>
      <c r="H115" s="14">
        <v>3368</v>
      </c>
      <c r="I115" s="15" t="s">
        <v>194</v>
      </c>
      <c r="J115" s="17">
        <f>IF(H115&gt;0,(H115*VLOOKUP(Lookups!$K$11,Lookups!$M$10:$P$43,4,0)/VLOOKUP(I115,Lookups!$M$10:$P$43,4,0)),"")</f>
        <v>4435.0439509771868</v>
      </c>
      <c r="K115" s="14">
        <v>5919</v>
      </c>
      <c r="L115" s="15" t="s">
        <v>194</v>
      </c>
      <c r="M115" s="17">
        <f>IF(K115&gt;0,(K115*VLOOKUP(Lookups!$K$11,Lookups!$M$10:$P$43,4,0)/VLOOKUP(L115,Lookups!$M$10:$P$43,4,0)),"")</f>
        <v>7794.2473710908462</v>
      </c>
      <c r="N115" s="14"/>
      <c r="O115" s="15"/>
      <c r="P115" s="17" t="str">
        <f>IF(N115&gt;0,(N115*VLOOKUP(Lookups!$K$11,Lookups!$M$10:$P$43,4,0)/VLOOKUP(O115,Lookups!$M$10:$P$43,4,0)),"")</f>
        <v/>
      </c>
      <c r="Q115" s="82" t="s">
        <v>571</v>
      </c>
      <c r="R115" s="15" t="s">
        <v>149</v>
      </c>
      <c r="S115" s="12" t="s">
        <v>74</v>
      </c>
      <c r="T115" s="134"/>
      <c r="U115" s="12"/>
    </row>
    <row r="116" spans="1:21" s="36" customFormat="1" ht="60" hidden="1" customHeight="1" outlineLevel="2" x14ac:dyDescent="0.25">
      <c r="A116" s="34" t="s">
        <v>234</v>
      </c>
      <c r="B116" s="34" t="s">
        <v>238</v>
      </c>
      <c r="C116" s="34" t="s">
        <v>2171</v>
      </c>
      <c r="D116" s="41" t="s">
        <v>572</v>
      </c>
      <c r="E116" s="12" t="s">
        <v>570</v>
      </c>
      <c r="F116" s="12" t="s">
        <v>147</v>
      </c>
      <c r="G116" s="12" t="s">
        <v>201</v>
      </c>
      <c r="H116" s="14">
        <v>1588</v>
      </c>
      <c r="I116" s="15" t="s">
        <v>194</v>
      </c>
      <c r="J116" s="17">
        <f>IF(H116&gt;0,(H116*VLOOKUP(Lookups!$K$11,Lookups!$M$10:$P$43,4,0)/VLOOKUP(I116,Lookups!$M$10:$P$43,4,0)),"")</f>
        <v>2091.107421066441</v>
      </c>
      <c r="K116" s="14"/>
      <c r="L116" s="15"/>
      <c r="M116" s="17" t="str">
        <f>IF(K116&gt;0,(K116*VLOOKUP(Lookups!$K$11,Lookups!$M$10:$P$43,4,0)/VLOOKUP(L116,Lookups!$M$10:$P$43,4,0)),"")</f>
        <v/>
      </c>
      <c r="N116" s="14"/>
      <c r="O116" s="15"/>
      <c r="P116" s="17" t="str">
        <f>IF(N116&gt;0,(N116*VLOOKUP(Lookups!$K$11,Lookups!$M$10:$P$43,4,0)/VLOOKUP(O116,Lookups!$M$10:$P$43,4,0)),"")</f>
        <v/>
      </c>
      <c r="Q116" s="82" t="s">
        <v>571</v>
      </c>
      <c r="R116" s="15" t="s">
        <v>149</v>
      </c>
      <c r="S116" s="12" t="s">
        <v>336</v>
      </c>
      <c r="T116" s="134"/>
      <c r="U116" s="12"/>
    </row>
    <row r="117" spans="1:21" s="36" customFormat="1" ht="60" hidden="1" customHeight="1" outlineLevel="2" x14ac:dyDescent="0.25">
      <c r="A117" s="34" t="s">
        <v>234</v>
      </c>
      <c r="B117" s="34" t="s">
        <v>238</v>
      </c>
      <c r="C117" s="34" t="s">
        <v>2172</v>
      </c>
      <c r="D117" s="41" t="s">
        <v>337</v>
      </c>
      <c r="E117" s="12" t="s">
        <v>570</v>
      </c>
      <c r="F117" s="12" t="s">
        <v>162</v>
      </c>
      <c r="G117" s="12" t="s">
        <v>23</v>
      </c>
      <c r="H117" s="14">
        <v>1278</v>
      </c>
      <c r="I117" s="15" t="s">
        <v>194</v>
      </c>
      <c r="J117" s="17">
        <f>IF(H117&gt;0,(H117*VLOOKUP(Lookups!$K$11,Lookups!$M$10:$P$43,4,0)/VLOOKUP(I117,Lookups!$M$10:$P$43,4,0)),"")</f>
        <v>1682.8937557449065</v>
      </c>
      <c r="K117" s="14"/>
      <c r="L117" s="15"/>
      <c r="M117" s="17" t="str">
        <f>IF(K117&gt;0,(K117*VLOOKUP(Lookups!$K$11,Lookups!$M$10:$P$43,4,0)/VLOOKUP(L117,Lookups!$M$10:$P$43,4,0)),"")</f>
        <v/>
      </c>
      <c r="N117" s="14"/>
      <c r="O117" s="15"/>
      <c r="P117" s="17" t="str">
        <f>IF(N117&gt;0,(N117*VLOOKUP(Lookups!$K$11,Lookups!$M$10:$P$43,4,0)/VLOOKUP(O117,Lookups!$M$10:$P$43,4,0)),"")</f>
        <v/>
      </c>
      <c r="Q117" s="82" t="s">
        <v>571</v>
      </c>
      <c r="R117" s="15" t="s">
        <v>149</v>
      </c>
      <c r="S117" s="12" t="s">
        <v>338</v>
      </c>
      <c r="T117" s="134"/>
      <c r="U117" s="12"/>
    </row>
    <row r="118" spans="1:21" s="36" customFormat="1" ht="60" hidden="1" customHeight="1" outlineLevel="2" x14ac:dyDescent="0.25">
      <c r="A118" s="34" t="s">
        <v>234</v>
      </c>
      <c r="B118" s="34" t="s">
        <v>238</v>
      </c>
      <c r="C118" s="34" t="s">
        <v>2173</v>
      </c>
      <c r="D118" s="41" t="s">
        <v>77</v>
      </c>
      <c r="E118" s="12" t="s">
        <v>570</v>
      </c>
      <c r="F118" s="12" t="s">
        <v>697</v>
      </c>
      <c r="G118" s="12" t="s">
        <v>78</v>
      </c>
      <c r="H118" s="14">
        <v>437</v>
      </c>
      <c r="I118" s="15" t="s">
        <v>194</v>
      </c>
      <c r="J118" s="17">
        <f>IF(H118&gt;0,(H118*VLOOKUP(Lookups!$K$11,Lookups!$M$10:$P$43,4,0)/VLOOKUP(I118,Lookups!$M$10:$P$43,4,0)),"")</f>
        <v>575.44958627584049</v>
      </c>
      <c r="K118" s="14"/>
      <c r="L118" s="15"/>
      <c r="M118" s="17" t="str">
        <f>IF(K118&gt;0,(K118*VLOOKUP(Lookups!$K$11,Lookups!$M$10:$P$43,4,0)/VLOOKUP(L118,Lookups!$M$10:$P$43,4,0)),"")</f>
        <v/>
      </c>
      <c r="N118" s="14"/>
      <c r="O118" s="15"/>
      <c r="P118" s="17" t="str">
        <f>IF(N118&gt;0,(N118*VLOOKUP(Lookups!$K$11,Lookups!$M$10:$P$43,4,0)/VLOOKUP(O118,Lookups!$M$10:$P$43,4,0)),"")</f>
        <v/>
      </c>
      <c r="Q118" s="82" t="s">
        <v>571</v>
      </c>
      <c r="R118" s="15" t="s">
        <v>149</v>
      </c>
      <c r="S118" s="12" t="s">
        <v>79</v>
      </c>
      <c r="T118" s="134"/>
      <c r="U118" s="12"/>
    </row>
    <row r="119" spans="1:21" s="36" customFormat="1" ht="60" hidden="1" customHeight="1" outlineLevel="2" x14ac:dyDescent="0.25">
      <c r="A119" s="34" t="s">
        <v>234</v>
      </c>
      <c r="B119" s="34" t="s">
        <v>238</v>
      </c>
      <c r="C119" s="34" t="s">
        <v>1776</v>
      </c>
      <c r="D119" s="41" t="s">
        <v>80</v>
      </c>
      <c r="E119" s="12" t="s">
        <v>570</v>
      </c>
      <c r="F119" s="12" t="s">
        <v>210</v>
      </c>
      <c r="G119" s="4" t="s">
        <v>150</v>
      </c>
      <c r="H119" s="14">
        <v>67</v>
      </c>
      <c r="I119" s="15" t="s">
        <v>194</v>
      </c>
      <c r="J119" s="17">
        <f>IF(H119&gt;0,(H119*VLOOKUP(Lookups!$K$11,Lookups!$M$10:$P$43,4,0)/VLOOKUP(I119,Lookups!$M$10:$P$43,4,0)),"")</f>
        <v>88.226824440460661</v>
      </c>
      <c r="K119" s="14"/>
      <c r="L119" s="15"/>
      <c r="M119" s="17" t="str">
        <f>IF(K119&gt;0,(K119*VLOOKUP(Lookups!$K$11,Lookups!$M$10:$P$43,4,0)/VLOOKUP(L119,Lookups!$M$10:$P$43,4,0)),"")</f>
        <v/>
      </c>
      <c r="N119" s="14"/>
      <c r="O119" s="15"/>
      <c r="P119" s="17" t="str">
        <f>IF(N119&gt;0,(N119*VLOOKUP(Lookups!$K$11,Lookups!$M$10:$P$43,4,0)/VLOOKUP(O119,Lookups!$M$10:$P$43,4,0)),"")</f>
        <v/>
      </c>
      <c r="Q119" s="82" t="s">
        <v>571</v>
      </c>
      <c r="R119" s="15" t="s">
        <v>149</v>
      </c>
      <c r="S119" s="12" t="s">
        <v>105</v>
      </c>
      <c r="T119" s="134"/>
      <c r="U119" s="12"/>
    </row>
    <row r="120" spans="1:21" s="54" customFormat="1" ht="60" customHeight="1" collapsed="1" x14ac:dyDescent="0.25">
      <c r="A120" s="40" t="s">
        <v>234</v>
      </c>
      <c r="B120" s="40" t="s">
        <v>238</v>
      </c>
      <c r="C120" s="40" t="s">
        <v>39</v>
      </c>
      <c r="D120" s="40" t="s">
        <v>909</v>
      </c>
      <c r="E120" s="12" t="s">
        <v>106</v>
      </c>
      <c r="F120" s="12" t="s">
        <v>147</v>
      </c>
      <c r="G120" s="12" t="s">
        <v>162</v>
      </c>
      <c r="H120" s="14">
        <v>3206</v>
      </c>
      <c r="I120" s="15" t="s">
        <v>195</v>
      </c>
      <c r="J120" s="17">
        <f>IF(H120&gt;0,(H120*VLOOKUP(Lookups!$K$11,Lookups!$M$10:$P$43,4,0)/VLOOKUP(I120,Lookups!$M$10:$P$43,4,0)),"")</f>
        <v>4156.4086414638969</v>
      </c>
      <c r="K120" s="14">
        <v>6958</v>
      </c>
      <c r="L120" s="15" t="s">
        <v>195</v>
      </c>
      <c r="M120" s="17">
        <f>IF(K120&gt;0,(K120*VLOOKUP(Lookups!$K$11,Lookups!$M$10:$P$43,4,0)/VLOOKUP(L120,Lookups!$M$10:$P$43,4,0)),"")</f>
        <v>9020.6772699019948</v>
      </c>
      <c r="N120" s="14"/>
      <c r="O120" s="15"/>
      <c r="P120" s="17" t="str">
        <f>IF(N120&gt;0,(N120*VLOOKUP(Lookups!$K$11,Lookups!$M$10:$P$43,4,0)/VLOOKUP(O120,Lookups!$M$10:$P$43,4,0)),"")</f>
        <v/>
      </c>
      <c r="Q120" s="82" t="s">
        <v>107</v>
      </c>
      <c r="R120" s="15" t="s">
        <v>149</v>
      </c>
      <c r="S120" s="12" t="s">
        <v>991</v>
      </c>
      <c r="T120" s="134"/>
      <c r="U120" s="12"/>
    </row>
    <row r="121" spans="1:21" s="54" customFormat="1" ht="60" hidden="1" customHeight="1" outlineLevel="2" x14ac:dyDescent="0.25">
      <c r="A121" s="34" t="s">
        <v>234</v>
      </c>
      <c r="B121" s="34" t="s">
        <v>238</v>
      </c>
      <c r="C121" s="34" t="s">
        <v>2174</v>
      </c>
      <c r="D121" s="41" t="s">
        <v>329</v>
      </c>
      <c r="E121" s="12" t="s">
        <v>106</v>
      </c>
      <c r="F121" s="12" t="s">
        <v>147</v>
      </c>
      <c r="G121" s="12" t="s">
        <v>201</v>
      </c>
      <c r="H121" s="14">
        <v>1849</v>
      </c>
      <c r="I121" s="15" t="s">
        <v>195</v>
      </c>
      <c r="J121" s="17">
        <f>IF(H121&gt;0,(H121*VLOOKUP(Lookups!$K$11,Lookups!$M$10:$P$43,4,0)/VLOOKUP(I121,Lookups!$M$10:$P$43,4,0)),"")</f>
        <v>2397.1302489291156</v>
      </c>
      <c r="K121" s="14"/>
      <c r="L121" s="15"/>
      <c r="M121" s="17" t="str">
        <f>IF(K121&gt;0,(K121*VLOOKUP(Lookups!$K$11,Lookups!$M$10:$P$43,4,0)/VLOOKUP(L121,Lookups!$M$10:$P$43,4,0)),"")</f>
        <v/>
      </c>
      <c r="N121" s="14"/>
      <c r="O121" s="15"/>
      <c r="P121" s="17" t="str">
        <f>IF(N121&gt;0,(N121*VLOOKUP(Lookups!$K$11,Lookups!$M$10:$P$43,4,0)/VLOOKUP(O121,Lookups!$M$10:$P$43,4,0)),"")</f>
        <v/>
      </c>
      <c r="Q121" s="82" t="s">
        <v>107</v>
      </c>
      <c r="R121" s="15" t="s">
        <v>149</v>
      </c>
      <c r="S121" s="12" t="s">
        <v>417</v>
      </c>
      <c r="T121" s="176"/>
      <c r="U121" s="98"/>
    </row>
    <row r="122" spans="1:21" s="54" customFormat="1" ht="60" hidden="1" customHeight="1" outlineLevel="2" x14ac:dyDescent="0.25">
      <c r="A122" s="34" t="s">
        <v>234</v>
      </c>
      <c r="B122" s="34" t="s">
        <v>238</v>
      </c>
      <c r="C122" s="34" t="s">
        <v>2175</v>
      </c>
      <c r="D122" s="41" t="s">
        <v>748</v>
      </c>
      <c r="E122" s="12" t="s">
        <v>106</v>
      </c>
      <c r="F122" s="12" t="s">
        <v>162</v>
      </c>
      <c r="G122" s="12" t="s">
        <v>23</v>
      </c>
      <c r="H122" s="14">
        <v>1148</v>
      </c>
      <c r="I122" s="15" t="s">
        <v>195</v>
      </c>
      <c r="J122" s="17">
        <f>IF(H122&gt;0,(H122*VLOOKUP(Lookups!$K$11,Lookups!$M$10:$P$43,4,0)/VLOOKUP(I122,Lookups!$M$10:$P$43,4,0)),"")</f>
        <v>1488.3209982534479</v>
      </c>
      <c r="K122" s="14"/>
      <c r="L122" s="15"/>
      <c r="M122" s="17" t="str">
        <f>IF(K122&gt;0,(K122*VLOOKUP(Lookups!$K$11,Lookups!$M$10:$P$43,4,0)/VLOOKUP(L122,Lookups!$M$10:$P$43,4,0)),"")</f>
        <v/>
      </c>
      <c r="N122" s="14"/>
      <c r="O122" s="15"/>
      <c r="P122" s="17" t="str">
        <f>IF(N122&gt;0,(N122*VLOOKUP(Lookups!$K$11,Lookups!$M$10:$P$43,4,0)/VLOOKUP(O122,Lookups!$M$10:$P$43,4,0)),"")</f>
        <v/>
      </c>
      <c r="Q122" s="82" t="s">
        <v>107</v>
      </c>
      <c r="R122" s="15" t="s">
        <v>149</v>
      </c>
      <c r="S122" s="12" t="s">
        <v>421</v>
      </c>
      <c r="T122" s="176"/>
      <c r="U122" s="98"/>
    </row>
    <row r="123" spans="1:21" s="54" customFormat="1" ht="60" hidden="1" customHeight="1" outlineLevel="2" x14ac:dyDescent="0.25">
      <c r="A123" s="34" t="s">
        <v>234</v>
      </c>
      <c r="B123" s="34" t="s">
        <v>238</v>
      </c>
      <c r="C123" s="34" t="s">
        <v>2176</v>
      </c>
      <c r="D123" s="41" t="s">
        <v>422</v>
      </c>
      <c r="E123" s="12" t="s">
        <v>106</v>
      </c>
      <c r="F123" s="12" t="s">
        <v>697</v>
      </c>
      <c r="G123" s="12" t="s">
        <v>78</v>
      </c>
      <c r="H123" s="14">
        <v>186</v>
      </c>
      <c r="I123" s="15" t="s">
        <v>195</v>
      </c>
      <c r="J123" s="17">
        <f>IF(H123&gt;0,(H123*VLOOKUP(Lookups!$K$11,Lookups!$M$10:$P$43,4,0)/VLOOKUP(I123,Lookups!$M$10:$P$43,4,0)),"")</f>
        <v>241.13911644176071</v>
      </c>
      <c r="K123" s="14"/>
      <c r="L123" s="15"/>
      <c r="M123" s="17" t="str">
        <f>IF(K123&gt;0,(K123*VLOOKUP(Lookups!$K$11,Lookups!$M$10:$P$43,4,0)/VLOOKUP(L123,Lookups!$M$10:$P$43,4,0)),"")</f>
        <v/>
      </c>
      <c r="N123" s="14"/>
      <c r="O123" s="15"/>
      <c r="P123" s="17" t="str">
        <f>IF(N123&gt;0,(N123*VLOOKUP(Lookups!$K$11,Lookups!$M$10:$P$43,4,0)/VLOOKUP(O123,Lookups!$M$10:$P$43,4,0)),"")</f>
        <v/>
      </c>
      <c r="Q123" s="82" t="s">
        <v>107</v>
      </c>
      <c r="R123" s="15" t="s">
        <v>149</v>
      </c>
      <c r="S123" s="12" t="s">
        <v>423</v>
      </c>
      <c r="T123" s="176"/>
      <c r="U123" s="98"/>
    </row>
    <row r="124" spans="1:21" s="54" customFormat="1" ht="60" hidden="1" customHeight="1" outlineLevel="2" x14ac:dyDescent="0.25">
      <c r="A124" s="34" t="s">
        <v>234</v>
      </c>
      <c r="B124" s="34" t="s">
        <v>238</v>
      </c>
      <c r="C124" s="34" t="s">
        <v>2177</v>
      </c>
      <c r="D124" s="41" t="s">
        <v>424</v>
      </c>
      <c r="E124" s="12" t="s">
        <v>106</v>
      </c>
      <c r="F124" s="12" t="s">
        <v>210</v>
      </c>
      <c r="G124" s="4" t="s">
        <v>150</v>
      </c>
      <c r="H124" s="14">
        <v>23</v>
      </c>
      <c r="I124" s="15" t="s">
        <v>195</v>
      </c>
      <c r="J124" s="17">
        <f>IF(H124&gt;0,(H124*VLOOKUP(Lookups!$K$11,Lookups!$M$10:$P$43,4,0)/VLOOKUP(I124,Lookups!$M$10:$P$43,4,0)),"")</f>
        <v>29.818277839572563</v>
      </c>
      <c r="K124" s="14"/>
      <c r="L124" s="15"/>
      <c r="M124" s="17" t="str">
        <f>IF(K124&gt;0,(K124*VLOOKUP(Lookups!$K$11,Lookups!$M$10:$P$43,4,0)/VLOOKUP(L124,Lookups!$M$10:$P$43,4,0)),"")</f>
        <v/>
      </c>
      <c r="N124" s="14"/>
      <c r="O124" s="15"/>
      <c r="P124" s="17" t="str">
        <f>IF(N124&gt;0,(N124*VLOOKUP(Lookups!$K$11,Lookups!$M$10:$P$43,4,0)/VLOOKUP(O124,Lookups!$M$10:$P$43,4,0)),"")</f>
        <v/>
      </c>
      <c r="Q124" s="82" t="s">
        <v>107</v>
      </c>
      <c r="R124" s="15" t="s">
        <v>149</v>
      </c>
      <c r="S124" s="12" t="s">
        <v>133</v>
      </c>
      <c r="T124" s="176"/>
      <c r="U124" s="98"/>
    </row>
    <row r="125" spans="1:21" s="47" customFormat="1" ht="60" customHeight="1" collapsed="1" x14ac:dyDescent="0.25">
      <c r="A125" s="40" t="s">
        <v>234</v>
      </c>
      <c r="B125" s="40" t="s">
        <v>238</v>
      </c>
      <c r="C125" s="40" t="s">
        <v>1777</v>
      </c>
      <c r="D125" s="40" t="s">
        <v>2112</v>
      </c>
      <c r="E125" s="12" t="s">
        <v>153</v>
      </c>
      <c r="F125" s="12" t="s">
        <v>210</v>
      </c>
      <c r="G125" s="4" t="s">
        <v>1943</v>
      </c>
      <c r="H125" s="14">
        <v>124</v>
      </c>
      <c r="I125" s="15" t="s">
        <v>259</v>
      </c>
      <c r="J125" s="17">
        <f>IF(H125&gt;0,(H125*VLOOKUP(Lookups!$K$11,Lookups!$M$10:$P$43,4,0)/VLOOKUP(I125,Lookups!$M$10:$P$43,4,0)),"")</f>
        <v>141.02477182196597</v>
      </c>
      <c r="K125" s="14"/>
      <c r="L125" s="15"/>
      <c r="M125" s="17" t="str">
        <f>IF(K125&gt;0,(K125*VLOOKUP(Lookups!$K$11,Lookups!$M$10:$P$43,4,0)/VLOOKUP(L125,Lookups!$M$10:$P$43,4,0)),"")</f>
        <v/>
      </c>
      <c r="N125" s="14"/>
      <c r="O125" s="15"/>
      <c r="P125" s="17" t="str">
        <f>IF(N125&gt;0,(N125*VLOOKUP(Lookups!$K$11,Lookups!$M$10:$P$43,4,0)/VLOOKUP(O125,Lookups!$M$10:$P$43,4,0)),"")</f>
        <v/>
      </c>
      <c r="Q125" s="143" t="s">
        <v>2054</v>
      </c>
      <c r="R125" s="15" t="s">
        <v>152</v>
      </c>
      <c r="S125" s="4" t="s">
        <v>2053</v>
      </c>
      <c r="T125" s="176"/>
      <c r="U125" s="90" t="s">
        <v>2222</v>
      </c>
    </row>
    <row r="126" spans="1:21" s="54" customFormat="1" ht="60" customHeight="1" collapsed="1" x14ac:dyDescent="0.25">
      <c r="A126" s="48" t="s">
        <v>234</v>
      </c>
      <c r="B126" s="48" t="s">
        <v>698</v>
      </c>
      <c r="C126" s="48" t="s">
        <v>1778</v>
      </c>
      <c r="D126" s="48" t="s">
        <v>2814</v>
      </c>
      <c r="E126" s="4" t="s">
        <v>161</v>
      </c>
      <c r="F126" s="4" t="s">
        <v>210</v>
      </c>
      <c r="G126" s="4" t="s">
        <v>1943</v>
      </c>
      <c r="H126" s="227">
        <v>46</v>
      </c>
      <c r="I126" s="181" t="s">
        <v>1520</v>
      </c>
      <c r="J126" s="221">
        <f>IF(H126&gt;0,(H126*VLOOKUP(Lookups!$K$11,Lookups!$M$10:$P$43,4,0)/VLOOKUP(I126,Lookups!$M$10:$P$43,4,0)),"")</f>
        <v>47.37645901864888</v>
      </c>
      <c r="K126" s="228"/>
      <c r="L126" s="181"/>
      <c r="M126" s="221" t="str">
        <f>IF(K126&gt;0,(K126*VLOOKUP(Lookups!$K$11,Lookups!$M$10:$P$43,4,0)/VLOOKUP(L126,Lookups!$M$10:$P$43,4,0)),"")</f>
        <v/>
      </c>
      <c r="N126" s="228"/>
      <c r="O126" s="181"/>
      <c r="P126" s="221" t="str">
        <f>IF(N126&gt;0,(N126*VLOOKUP(Lookups!$K$11,Lookups!$M$10:$P$43,4,0)/VLOOKUP(O126,Lookups!$M$10:$P$43,4,0)),"")</f>
        <v/>
      </c>
      <c r="Q126" s="173" t="s">
        <v>2815</v>
      </c>
      <c r="R126" s="181" t="s">
        <v>154</v>
      </c>
      <c r="S126" s="174" t="s">
        <v>2816</v>
      </c>
      <c r="T126" s="176" t="s">
        <v>923</v>
      </c>
      <c r="U126" s="4" t="s">
        <v>2820</v>
      </c>
    </row>
    <row r="127" spans="1:21" s="53" customFormat="1" ht="60" hidden="1" customHeight="1" outlineLevel="1" x14ac:dyDescent="0.25">
      <c r="A127" s="50" t="s">
        <v>234</v>
      </c>
      <c r="B127" s="50" t="s">
        <v>698</v>
      </c>
      <c r="C127" s="50" t="s">
        <v>3087</v>
      </c>
      <c r="D127" s="50" t="s">
        <v>2817</v>
      </c>
      <c r="E127" s="4" t="s">
        <v>161</v>
      </c>
      <c r="F127" s="4" t="s">
        <v>210</v>
      </c>
      <c r="G127" s="4" t="s">
        <v>150</v>
      </c>
      <c r="H127" s="227">
        <v>46</v>
      </c>
      <c r="I127" s="181" t="s">
        <v>1520</v>
      </c>
      <c r="J127" s="221">
        <f>IF(H127&gt;0,(H127*VLOOKUP(Lookups!$K$11,Lookups!$M$10:$P$43,4,0)/VLOOKUP(I127,Lookups!$M$10:$P$43,4,0)),"")</f>
        <v>47.37645901864888</v>
      </c>
      <c r="K127" s="228"/>
      <c r="L127" s="181"/>
      <c r="M127" s="221" t="str">
        <f>IF(K127&gt;0,(K127*VLOOKUP(Lookups!$K$11,Lookups!$M$10:$P$43,4,0)/VLOOKUP(L127,Lookups!$M$10:$P$43,4,0)),"")</f>
        <v/>
      </c>
      <c r="N127" s="228"/>
      <c r="O127" s="181"/>
      <c r="P127" s="221" t="str">
        <f>IF(N127&gt;0,(N127*VLOOKUP(Lookups!$K$11,Lookups!$M$10:$P$43,4,0)/VLOOKUP(O127,Lookups!$M$10:$P$43,4,0)),"")</f>
        <v/>
      </c>
      <c r="Q127" s="173" t="s">
        <v>2818</v>
      </c>
      <c r="R127" s="181" t="s">
        <v>154</v>
      </c>
      <c r="S127" s="174" t="s">
        <v>2825</v>
      </c>
      <c r="T127" s="176" t="s">
        <v>923</v>
      </c>
      <c r="U127" s="4" t="s">
        <v>2820</v>
      </c>
    </row>
    <row r="128" spans="1:21" s="54" customFormat="1" ht="60" hidden="1" customHeight="1" outlineLevel="1" x14ac:dyDescent="0.25">
      <c r="A128" s="42" t="s">
        <v>234</v>
      </c>
      <c r="B128" s="42" t="s">
        <v>698</v>
      </c>
      <c r="C128" s="42" t="s">
        <v>2161</v>
      </c>
      <c r="D128" s="42" t="s">
        <v>2819</v>
      </c>
      <c r="E128" s="12" t="s">
        <v>161</v>
      </c>
      <c r="F128" s="12" t="s">
        <v>210</v>
      </c>
      <c r="G128" s="4" t="s">
        <v>1943</v>
      </c>
      <c r="H128" s="46">
        <v>54</v>
      </c>
      <c r="I128" s="15" t="s">
        <v>258</v>
      </c>
      <c r="J128" s="17">
        <f>IF(H128&gt;0,(H128*VLOOKUP(Lookups!$K$11,Lookups!$M$10:$P$43,4,0)/VLOOKUP(I128,Lookups!$M$10:$P$43,4,0)),"")</f>
        <v>62.471643153477451</v>
      </c>
      <c r="K128" s="46"/>
      <c r="L128" s="15"/>
      <c r="M128" s="17" t="str">
        <f>IF(K128&gt;0,(K128*VLOOKUP(Lookups!$K$11,Lookups!$M$10:$P$43,4,0)/VLOOKUP(L128,Lookups!$M$10:$P$43,4,0)),"")</f>
        <v/>
      </c>
      <c r="N128" s="46"/>
      <c r="O128" s="15"/>
      <c r="P128" s="17" t="str">
        <f>IF(N128&gt;0,(N128*VLOOKUP(Lookups!$K$11,Lookups!$M$10:$P$43,4,0)/VLOOKUP(O128,Lookups!$M$10:$P$43,4,0)),"")</f>
        <v/>
      </c>
      <c r="Q128" s="143" t="s">
        <v>1763</v>
      </c>
      <c r="R128" s="15" t="s">
        <v>152</v>
      </c>
      <c r="S128" s="12" t="s">
        <v>2822</v>
      </c>
      <c r="T128" s="176"/>
      <c r="U128" s="90" t="s">
        <v>2821</v>
      </c>
    </row>
    <row r="129" spans="1:21" s="54" customFormat="1" ht="60" hidden="1" customHeight="1" outlineLevel="1" x14ac:dyDescent="0.25">
      <c r="A129" s="50" t="s">
        <v>234</v>
      </c>
      <c r="B129" s="50" t="s">
        <v>698</v>
      </c>
      <c r="C129" s="50" t="s">
        <v>3088</v>
      </c>
      <c r="D129" s="50" t="s">
        <v>719</v>
      </c>
      <c r="E129" s="4" t="s">
        <v>161</v>
      </c>
      <c r="F129" s="4" t="s">
        <v>210</v>
      </c>
      <c r="G129" s="4" t="s">
        <v>1943</v>
      </c>
      <c r="H129" s="227">
        <v>35</v>
      </c>
      <c r="I129" s="181" t="s">
        <v>1520</v>
      </c>
      <c r="J129" s="221">
        <f>IF(H129&gt;0,(H129*VLOOKUP(Lookups!$K$11,Lookups!$M$10:$P$43,4,0)/VLOOKUP(I129,Lookups!$M$10:$P$43,4,0)),"")</f>
        <v>36.047305775058931</v>
      </c>
      <c r="K129" s="228"/>
      <c r="L129" s="181"/>
      <c r="M129" s="221" t="str">
        <f>IF(K129&gt;0,(K129*VLOOKUP(Lookups!$K$11,Lookups!$M$10:$P$43,4,0)/VLOOKUP(L129,Lookups!$M$10:$P$43,4,0)),"")</f>
        <v/>
      </c>
      <c r="N129" s="228"/>
      <c r="O129" s="181"/>
      <c r="P129" s="221" t="str">
        <f>IF(N129&gt;0,(N129*VLOOKUP(Lookups!$K$11,Lookups!$M$10:$P$43,4,0)/VLOOKUP(O129,Lookups!$M$10:$P$43,4,0)),"")</f>
        <v/>
      </c>
      <c r="Q129" s="143" t="s">
        <v>2437</v>
      </c>
      <c r="R129" s="181" t="s">
        <v>154</v>
      </c>
      <c r="S129" s="174" t="s">
        <v>2151</v>
      </c>
      <c r="T129" s="176" t="s">
        <v>923</v>
      </c>
      <c r="U129" s="4" t="s">
        <v>2434</v>
      </c>
    </row>
    <row r="130" spans="1:21" s="229" customFormat="1" ht="60" hidden="1" customHeight="1" outlineLevel="1" x14ac:dyDescent="0.25">
      <c r="A130" s="50" t="s">
        <v>234</v>
      </c>
      <c r="B130" s="50" t="s">
        <v>698</v>
      </c>
      <c r="C130" s="50" t="s">
        <v>2162</v>
      </c>
      <c r="D130" s="50" t="s">
        <v>2152</v>
      </c>
      <c r="E130" s="4" t="s">
        <v>161</v>
      </c>
      <c r="F130" s="4" t="s">
        <v>210</v>
      </c>
      <c r="G130" s="4" t="s">
        <v>1943</v>
      </c>
      <c r="H130" s="227">
        <v>32</v>
      </c>
      <c r="I130" s="181" t="s">
        <v>1520</v>
      </c>
      <c r="J130" s="221">
        <f>IF(H130&gt;0,(H130*VLOOKUP(Lookups!$K$11,Lookups!$M$10:$P$43,4,0)/VLOOKUP(I130,Lookups!$M$10:$P$43,4,0)),"")</f>
        <v>32.957536708625305</v>
      </c>
      <c r="K130" s="228"/>
      <c r="L130" s="181"/>
      <c r="M130" s="221" t="str">
        <f>IF(K130&gt;0,(K130*VLOOKUP(Lookups!$K$11,Lookups!$M$10:$P$43,4,0)/VLOOKUP(L130,Lookups!$M$10:$P$43,4,0)),"")</f>
        <v/>
      </c>
      <c r="N130" s="228"/>
      <c r="O130" s="181"/>
      <c r="P130" s="221" t="str">
        <f>IF(N130&gt;0,(N130*VLOOKUP(Lookups!$K$11,Lookups!$M$10:$P$43,4,0)/VLOOKUP(O130,Lookups!$M$10:$P$43,4,0)),"")</f>
        <v/>
      </c>
      <c r="Q130" s="143" t="s">
        <v>2439</v>
      </c>
      <c r="R130" s="181" t="s">
        <v>154</v>
      </c>
      <c r="S130" s="174" t="s">
        <v>3110</v>
      </c>
      <c r="T130" s="176" t="s">
        <v>923</v>
      </c>
      <c r="U130" s="4" t="s">
        <v>2434</v>
      </c>
    </row>
    <row r="131" spans="1:21" s="229" customFormat="1" ht="60" hidden="1" customHeight="1" outlineLevel="1" x14ac:dyDescent="0.25">
      <c r="A131" s="50" t="s">
        <v>234</v>
      </c>
      <c r="B131" s="50" t="s">
        <v>698</v>
      </c>
      <c r="C131" s="50" t="s">
        <v>3089</v>
      </c>
      <c r="D131" s="50" t="s">
        <v>2823</v>
      </c>
      <c r="E131" s="4" t="s">
        <v>161</v>
      </c>
      <c r="F131" s="4" t="s">
        <v>210</v>
      </c>
      <c r="G131" s="4" t="s">
        <v>1943</v>
      </c>
      <c r="H131" s="227">
        <v>47</v>
      </c>
      <c r="I131" s="181" t="s">
        <v>1520</v>
      </c>
      <c r="J131" s="221">
        <f>IF(H131&gt;0,(H131*VLOOKUP(Lookups!$K$11,Lookups!$M$10:$P$43,4,0)/VLOOKUP(I131,Lookups!$M$10:$P$43,4,0)),"")</f>
        <v>48.406382040793417</v>
      </c>
      <c r="K131" s="228"/>
      <c r="L131" s="181"/>
      <c r="M131" s="221" t="str">
        <f>IF(K131&gt;0,(K131*VLOOKUP(Lookups!$K$11,Lookups!$M$10:$P$43,4,0)/VLOOKUP(L131,Lookups!$M$10:$P$43,4,0)),"")</f>
        <v/>
      </c>
      <c r="N131" s="228"/>
      <c r="O131" s="181"/>
      <c r="P131" s="221" t="str">
        <f>IF(N131&gt;0,(N131*VLOOKUP(Lookups!$K$11,Lookups!$M$10:$P$43,4,0)/VLOOKUP(O131,Lookups!$M$10:$P$43,4,0)),"")</f>
        <v/>
      </c>
      <c r="Q131" s="143" t="s">
        <v>2438</v>
      </c>
      <c r="R131" s="181" t="s">
        <v>154</v>
      </c>
      <c r="S131" s="174" t="s">
        <v>2824</v>
      </c>
      <c r="T131" s="176" t="s">
        <v>923</v>
      </c>
      <c r="U131" s="4" t="s">
        <v>2434</v>
      </c>
    </row>
    <row r="132" spans="1:21" s="47" customFormat="1" ht="60" hidden="1" customHeight="1" outlineLevel="1" x14ac:dyDescent="0.25">
      <c r="A132" s="42" t="s">
        <v>234</v>
      </c>
      <c r="B132" s="42" t="s">
        <v>698</v>
      </c>
      <c r="C132" s="42" t="s">
        <v>2163</v>
      </c>
      <c r="D132" s="42" t="s">
        <v>720</v>
      </c>
      <c r="E132" s="12" t="s">
        <v>161</v>
      </c>
      <c r="F132" s="12" t="s">
        <v>210</v>
      </c>
      <c r="G132" s="34"/>
      <c r="H132" s="46">
        <v>32</v>
      </c>
      <c r="I132" s="15" t="s">
        <v>258</v>
      </c>
      <c r="J132" s="17">
        <f>IF(H132&gt;0,(H132*VLOOKUP(Lookups!$K$11,Lookups!$M$10:$P$43,4,0)/VLOOKUP(I132,Lookups!$M$10:$P$43,4,0)),"")</f>
        <v>37.020232979838489</v>
      </c>
      <c r="K132" s="46"/>
      <c r="L132" s="15"/>
      <c r="M132" s="17" t="str">
        <f>IF(K132&gt;0,(K132*VLOOKUP(Lookups!$K$11,Lookups!$M$10:$P$43,4,0)/VLOOKUP(L132,Lookups!$M$10:$P$43,4,0)),"")</f>
        <v/>
      </c>
      <c r="N132" s="46"/>
      <c r="O132" s="15"/>
      <c r="P132" s="17" t="str">
        <f>IF(N132&gt;0,(N132*VLOOKUP(Lookups!$K$11,Lookups!$M$10:$P$43,4,0)/VLOOKUP(O132,Lookups!$M$10:$P$43,4,0)),"")</f>
        <v/>
      </c>
      <c r="Q132" s="143" t="s">
        <v>1764</v>
      </c>
      <c r="R132" s="15" t="s">
        <v>152</v>
      </c>
      <c r="S132" s="12" t="s">
        <v>1765</v>
      </c>
      <c r="T132" s="176"/>
      <c r="U132" s="90" t="s">
        <v>2222</v>
      </c>
    </row>
    <row r="133" spans="1:21" ht="60" customHeight="1" x14ac:dyDescent="0.25">
      <c r="A133"/>
      <c r="B133"/>
      <c r="C133"/>
      <c r="D133"/>
      <c r="E133"/>
      <c r="F133"/>
      <c r="G133"/>
      <c r="H133"/>
      <c r="I133"/>
      <c r="J133"/>
      <c r="K133"/>
      <c r="L133"/>
      <c r="M133"/>
      <c r="N133"/>
      <c r="O133"/>
      <c r="P133"/>
      <c r="Q133"/>
      <c r="R133"/>
      <c r="S133"/>
      <c r="T133"/>
      <c r="U133"/>
    </row>
    <row r="136" spans="1:21" ht="60" customHeight="1" x14ac:dyDescent="0.25">
      <c r="D136" s="69"/>
    </row>
    <row r="137" spans="1:21" ht="60" customHeight="1" x14ac:dyDescent="0.25">
      <c r="D137" s="69"/>
    </row>
    <row r="138" spans="1:21" ht="60" customHeight="1" x14ac:dyDescent="0.25">
      <c r="D138" s="69"/>
    </row>
    <row r="139" spans="1:21" ht="60" customHeight="1" x14ac:dyDescent="0.25">
      <c r="D139" s="69"/>
    </row>
    <row r="140" spans="1:21" ht="60" customHeight="1" x14ac:dyDescent="0.25">
      <c r="D140" s="69"/>
    </row>
    <row r="141" spans="1:21" ht="60" customHeight="1" x14ac:dyDescent="0.25">
      <c r="D141" s="69"/>
    </row>
    <row r="142" spans="1:21" ht="60" customHeight="1" x14ac:dyDescent="0.25">
      <c r="D142" s="69"/>
    </row>
    <row r="143" spans="1:21" ht="60" customHeight="1" x14ac:dyDescent="0.25">
      <c r="D143" s="69"/>
    </row>
    <row r="144" spans="1:21" ht="60" customHeight="1" x14ac:dyDescent="0.25">
      <c r="D144" s="69"/>
    </row>
    <row r="145" spans="4:20" ht="60" customHeight="1" x14ac:dyDescent="0.25">
      <c r="D145" s="69"/>
      <c r="T145" s="68"/>
    </row>
    <row r="146" spans="4:20" ht="60" customHeight="1" x14ac:dyDescent="0.25">
      <c r="D146" s="69"/>
      <c r="T146" s="68"/>
    </row>
    <row r="147" spans="4:20" ht="60" customHeight="1" x14ac:dyDescent="0.25">
      <c r="D147" s="69"/>
      <c r="T147" s="68"/>
    </row>
    <row r="148" spans="4:20" ht="60" customHeight="1" x14ac:dyDescent="0.25">
      <c r="D148" s="69"/>
      <c r="T148" s="68"/>
    </row>
    <row r="149" spans="4:20" ht="60" customHeight="1" x14ac:dyDescent="0.25">
      <c r="D149" s="69"/>
      <c r="T149" s="68"/>
    </row>
    <row r="150" spans="4:20" ht="60" customHeight="1" x14ac:dyDescent="0.25">
      <c r="D150" s="69"/>
      <c r="T150" s="68"/>
    </row>
    <row r="151" spans="4:20" ht="60" customHeight="1" x14ac:dyDescent="0.25">
      <c r="D151" s="69"/>
      <c r="T151" s="68"/>
    </row>
    <row r="152" spans="4:20" ht="60" customHeight="1" x14ac:dyDescent="0.25">
      <c r="D152" s="69"/>
      <c r="T152" s="68"/>
    </row>
    <row r="153" spans="4:20" ht="60" customHeight="1" x14ac:dyDescent="0.25">
      <c r="D153" s="69"/>
      <c r="T153" s="68"/>
    </row>
    <row r="154" spans="4:20" ht="60" customHeight="1" x14ac:dyDescent="0.25">
      <c r="D154" s="69"/>
      <c r="T154" s="68"/>
    </row>
    <row r="155" spans="4:20" ht="60" customHeight="1" x14ac:dyDescent="0.25">
      <c r="D155" s="69"/>
      <c r="T155" s="68"/>
    </row>
    <row r="156" spans="4:20" ht="60" customHeight="1" x14ac:dyDescent="0.25">
      <c r="D156" s="69"/>
      <c r="T156" s="68"/>
    </row>
    <row r="157" spans="4:20" ht="60" customHeight="1" x14ac:dyDescent="0.25">
      <c r="D157" s="69"/>
      <c r="T157" s="68"/>
    </row>
    <row r="158" spans="4:20" ht="60" customHeight="1" x14ac:dyDescent="0.25">
      <c r="D158" s="69"/>
      <c r="T158" s="68"/>
    </row>
    <row r="159" spans="4:20" ht="60" customHeight="1" x14ac:dyDescent="0.25">
      <c r="D159" s="69"/>
      <c r="T159" s="68"/>
    </row>
    <row r="160" spans="4:20" ht="60" customHeight="1" x14ac:dyDescent="0.25">
      <c r="D160" s="69"/>
      <c r="T160" s="68"/>
    </row>
    <row r="161" spans="4:20" ht="60" customHeight="1" x14ac:dyDescent="0.25">
      <c r="D161" s="69"/>
      <c r="T161" s="68"/>
    </row>
    <row r="162" spans="4:20" ht="60" customHeight="1" x14ac:dyDescent="0.25">
      <c r="D162" s="69"/>
      <c r="T162" s="68"/>
    </row>
    <row r="163" spans="4:20" ht="60" customHeight="1" x14ac:dyDescent="0.25">
      <c r="D163" s="69"/>
      <c r="T163" s="68"/>
    </row>
    <row r="164" spans="4:20" ht="60" customHeight="1" x14ac:dyDescent="0.25">
      <c r="D164" s="69"/>
      <c r="T164" s="68"/>
    </row>
    <row r="165" spans="4:20" ht="60" customHeight="1" x14ac:dyDescent="0.25">
      <c r="D165" s="69"/>
      <c r="T165" s="68"/>
    </row>
    <row r="166" spans="4:20" ht="60" customHeight="1" x14ac:dyDescent="0.25">
      <c r="D166" s="69"/>
      <c r="T166" s="68"/>
    </row>
    <row r="167" spans="4:20" ht="60" customHeight="1" x14ac:dyDescent="0.25">
      <c r="D167" s="69"/>
      <c r="T167" s="68"/>
    </row>
    <row r="168" spans="4:20" ht="60" customHeight="1" x14ac:dyDescent="0.25">
      <c r="D168" s="69"/>
      <c r="T168" s="68"/>
    </row>
    <row r="169" spans="4:20" ht="60" customHeight="1" x14ac:dyDescent="0.25">
      <c r="D169" s="69"/>
      <c r="T169" s="68"/>
    </row>
    <row r="170" spans="4:20" ht="60" customHeight="1" x14ac:dyDescent="0.25">
      <c r="D170" s="69"/>
      <c r="T170" s="68"/>
    </row>
    <row r="171" spans="4:20" ht="60" customHeight="1" x14ac:dyDescent="0.25">
      <c r="D171" s="69"/>
      <c r="T171" s="68"/>
    </row>
    <row r="172" spans="4:20" ht="60" customHeight="1" x14ac:dyDescent="0.25">
      <c r="D172" s="69"/>
      <c r="T172" s="68"/>
    </row>
    <row r="173" spans="4:20" ht="60" customHeight="1" x14ac:dyDescent="0.25">
      <c r="D173" s="69"/>
      <c r="T173" s="68"/>
    </row>
    <row r="174" spans="4:20" ht="60" customHeight="1" x14ac:dyDescent="0.25">
      <c r="D174" s="69"/>
      <c r="T174" s="68"/>
    </row>
    <row r="175" spans="4:20" ht="60" customHeight="1" x14ac:dyDescent="0.25">
      <c r="D175" s="69"/>
      <c r="T175" s="68"/>
    </row>
    <row r="176" spans="4:20" ht="60" customHeight="1" x14ac:dyDescent="0.25">
      <c r="D176" s="69"/>
      <c r="T176" s="68"/>
    </row>
    <row r="177" spans="4:20" ht="60" customHeight="1" x14ac:dyDescent="0.25">
      <c r="D177" s="69"/>
      <c r="T177" s="68"/>
    </row>
    <row r="178" spans="4:20" ht="60" customHeight="1" x14ac:dyDescent="0.25">
      <c r="D178" s="69"/>
      <c r="T178" s="68"/>
    </row>
    <row r="179" spans="4:20" ht="60" customHeight="1" x14ac:dyDescent="0.25">
      <c r="D179" s="69"/>
      <c r="T179" s="68"/>
    </row>
    <row r="180" spans="4:20" ht="60" customHeight="1" x14ac:dyDescent="0.25">
      <c r="D180" s="69"/>
      <c r="T180" s="68"/>
    </row>
    <row r="181" spans="4:20" ht="60" customHeight="1" x14ac:dyDescent="0.25">
      <c r="D181" s="69"/>
      <c r="T181" s="68"/>
    </row>
    <row r="182" spans="4:20" ht="60" customHeight="1" x14ac:dyDescent="0.25">
      <c r="D182" s="69"/>
      <c r="T182" s="68"/>
    </row>
    <row r="183" spans="4:20" ht="60" customHeight="1" x14ac:dyDescent="0.25">
      <c r="D183" s="69"/>
      <c r="T183" s="68"/>
    </row>
    <row r="184" spans="4:20" ht="60" customHeight="1" x14ac:dyDescent="0.25">
      <c r="D184" s="69"/>
      <c r="T184" s="68"/>
    </row>
    <row r="185" spans="4:20" ht="60" customHeight="1" x14ac:dyDescent="0.25">
      <c r="D185" s="69"/>
      <c r="T185" s="68"/>
    </row>
    <row r="186" spans="4:20" ht="60" customHeight="1" x14ac:dyDescent="0.25">
      <c r="D186" s="69"/>
      <c r="T186" s="68"/>
    </row>
    <row r="187" spans="4:20" ht="60" customHeight="1" x14ac:dyDescent="0.25">
      <c r="D187" s="69"/>
      <c r="T187" s="68"/>
    </row>
    <row r="188" spans="4:20" ht="60" customHeight="1" x14ac:dyDescent="0.25">
      <c r="D188" s="69"/>
      <c r="T188" s="68"/>
    </row>
    <row r="189" spans="4:20" ht="60" customHeight="1" x14ac:dyDescent="0.25">
      <c r="D189" s="69"/>
      <c r="T189" s="68"/>
    </row>
    <row r="190" spans="4:20" ht="60" customHeight="1" x14ac:dyDescent="0.25">
      <c r="D190" s="69"/>
      <c r="T190" s="68"/>
    </row>
    <row r="191" spans="4:20" ht="60" customHeight="1" x14ac:dyDescent="0.25">
      <c r="D191" s="69"/>
      <c r="T191" s="68"/>
    </row>
    <row r="192" spans="4:20" ht="60" customHeight="1" x14ac:dyDescent="0.25">
      <c r="D192" s="69"/>
      <c r="T192" s="68"/>
    </row>
    <row r="193" spans="4:20" ht="60" customHeight="1" x14ac:dyDescent="0.25">
      <c r="D193" s="69"/>
      <c r="T193" s="68"/>
    </row>
    <row r="194" spans="4:20" ht="60" customHeight="1" x14ac:dyDescent="0.25">
      <c r="D194" s="69"/>
      <c r="T194" s="68"/>
    </row>
    <row r="195" spans="4:20" ht="60" customHeight="1" x14ac:dyDescent="0.25">
      <c r="D195" s="69"/>
      <c r="T195" s="68"/>
    </row>
    <row r="196" spans="4:20" ht="60" customHeight="1" x14ac:dyDescent="0.25">
      <c r="D196" s="69"/>
      <c r="T196" s="68"/>
    </row>
    <row r="197" spans="4:20" ht="60" customHeight="1" x14ac:dyDescent="0.25">
      <c r="D197" s="69"/>
      <c r="T197" s="68"/>
    </row>
    <row r="198" spans="4:20" ht="60" customHeight="1" x14ac:dyDescent="0.25">
      <c r="D198" s="69"/>
      <c r="T198" s="68"/>
    </row>
    <row r="199" spans="4:20" ht="60" customHeight="1" x14ac:dyDescent="0.25">
      <c r="D199" s="69"/>
      <c r="T199" s="68"/>
    </row>
    <row r="200" spans="4:20" ht="60" customHeight="1" x14ac:dyDescent="0.25">
      <c r="D200" s="69"/>
      <c r="T200" s="68"/>
    </row>
    <row r="201" spans="4:20" ht="60" customHeight="1" x14ac:dyDescent="0.25">
      <c r="D201" s="69"/>
      <c r="T201" s="68"/>
    </row>
    <row r="202" spans="4:20" ht="60" customHeight="1" x14ac:dyDescent="0.25">
      <c r="D202" s="69"/>
      <c r="T202" s="68"/>
    </row>
    <row r="203" spans="4:20" ht="60" customHeight="1" x14ac:dyDescent="0.25">
      <c r="D203" s="69"/>
      <c r="T203" s="68"/>
    </row>
    <row r="204" spans="4:20" ht="60" customHeight="1" x14ac:dyDescent="0.25">
      <c r="D204" s="69"/>
      <c r="T204" s="68"/>
    </row>
    <row r="205" spans="4:20" ht="60" customHeight="1" x14ac:dyDescent="0.25">
      <c r="D205" s="69"/>
      <c r="T205" s="68"/>
    </row>
  </sheetData>
  <sheetProtection sheet="1" objects="1" scenarios="1" formatColumns="0" formatRows="0"/>
  <mergeCells count="5">
    <mergeCell ref="T1:U1"/>
    <mergeCell ref="H1:J1"/>
    <mergeCell ref="K1:M1"/>
    <mergeCell ref="N1:P1"/>
    <mergeCell ref="F1:G1"/>
  </mergeCells>
  <dataValidations count="8">
    <dataValidation type="list" allowBlank="1" showInputMessage="1" showErrorMessage="1" sqref="G3:G89 G91:G132" xr:uid="{00000000-0002-0000-0800-000002000000}">
      <formula1>Level2agencysaving</formula1>
    </dataValidation>
    <dataValidation type="list" allowBlank="1" showInputMessage="1" showErrorMessage="1" sqref="G90 F3:F132" xr:uid="{00000000-0002-0000-0800-000003000000}">
      <formula1>Level1agencysaving</formula1>
    </dataValidation>
    <dataValidation type="list" allowBlank="1" showInputMessage="1" showErrorMessage="1" sqref="R3:R132" xr:uid="{00000000-0002-0000-0800-00000A000000}">
      <formula1>RAGassessment</formula1>
    </dataValidation>
    <dataValidation type="list" allowBlank="1" showInputMessage="1" showErrorMessage="1" sqref="B3:B132" xr:uid="{00000000-0002-0000-0800-00000B000000}">
      <formula1>Outcomedetail</formula1>
    </dataValidation>
    <dataValidation type="list" allowBlank="1" showInputMessage="1" showErrorMessage="1" sqref="A3:A132" xr:uid="{00000000-0002-0000-0800-00000C000000}">
      <formula1>Outcomecategory</formula1>
    </dataValidation>
    <dataValidation type="list" allowBlank="1" showInputMessage="1" showErrorMessage="1" sqref="E3:E132" xr:uid="{00000000-0002-0000-0800-00000D000000}">
      <formula1>Unit</formula1>
    </dataValidation>
    <dataValidation type="list" allowBlank="1" showInputMessage="1" showErrorMessage="1" sqref="I3:I132 L3:L132 O3:O132" xr:uid="{00000000-0002-0000-0800-00000E000000}">
      <formula1>Year</formula1>
    </dataValidation>
    <dataValidation type="list" allowBlank="1" showInputMessage="1" showErrorMessage="1" sqref="T3:T132" xr:uid="{24AC5EC8-44AD-4D74-A175-4529315D9B10}">
      <formula1>Update</formula1>
    </dataValidation>
  </dataValidations>
  <hyperlinks>
    <hyperlink ref="Q36" r:id="rId1" xr:uid="{387FD4A6-77B6-4114-AB22-F4EA132CAB6E}"/>
    <hyperlink ref="Q37" r:id="rId2" xr:uid="{5F14982D-9AFC-4BEB-BE53-D0897DA85FAD}"/>
    <hyperlink ref="Q38" r:id="rId3" xr:uid="{C31AD6A5-2B67-4BD3-8547-D8276BE5E9B3}"/>
    <hyperlink ref="Q39" r:id="rId4" xr:uid="{5290A506-BEB4-4E78-A461-4BA2F66A9C83}"/>
    <hyperlink ref="Q40" r:id="rId5" xr:uid="{30D7703C-B59C-4212-960A-502BE8F9AEC3}"/>
    <hyperlink ref="Q10" r:id="rId6" display="Unit Costs of Health and Social Care 2011 (Curtis, 2011), p.120" xr:uid="{442C1006-79DC-4C5E-8755-B1D54E9E4AD3}"/>
    <hyperlink ref="Q19:Q21" r:id="rId7" display="Unit Costs of Health and Social Care 2011 (Curtis, 2011), p.121" xr:uid="{D7CF6883-764A-4B47-ABAA-37CACE3C8860}"/>
    <hyperlink ref="Q23:Q27" r:id="rId8" display="Unit Costs of Health and Social Care 2011 (Curtis, 2011), p.122" xr:uid="{FEED13E5-658E-4A4C-ADE2-1C4559415F3E}"/>
    <hyperlink ref="Q33" r:id="rId9" xr:uid="{531AB556-64DE-470D-A7B9-8D7875354198}"/>
    <hyperlink ref="Q113" r:id="rId10" xr:uid="{641E4F56-CB90-451B-BC38-9E24D0C7C918}"/>
    <hyperlink ref="Q41" r:id="rId11" xr:uid="{8B87DEE2-4310-4785-BAFB-72BB878F1657}"/>
    <hyperlink ref="Q42" r:id="rId12" xr:uid="{D12CEE6C-7A56-4337-A6B2-C6FC75EA2030}"/>
    <hyperlink ref="Q51" r:id="rId13" xr:uid="{88E1EE4D-1243-40FF-B6C1-BDC0D5CF96CB}"/>
    <hyperlink ref="Q52" r:id="rId14" xr:uid="{D1079416-3E9E-4C8F-8FA5-65FCB6D7F64D}"/>
    <hyperlink ref="Q53" r:id="rId15" xr:uid="{D4CBFA5C-E81C-4B00-A81A-0F3CE1C2539F}"/>
    <hyperlink ref="Q54" r:id="rId16" xr:uid="{9A97B6A8-ABA4-43E0-8AF0-5719F0FDD9F9}"/>
    <hyperlink ref="Q55" r:id="rId17" xr:uid="{64CEEF63-5222-4E1E-B9F5-C3A7161D76C7}"/>
    <hyperlink ref="Q11:Q15" r:id="rId18" display="Unit Costs of Health and Social Care 2011 (Curtis, 2011), p.120" xr:uid="{B93A444D-E0D7-4D4D-B33A-68E97FC1ED5E}"/>
    <hyperlink ref="Q20:Q23" r:id="rId19" display="Unit Costs of Health and Social Care 2011 (Curtis, 2011), p.120" xr:uid="{85105DEB-D694-4AB3-8EF4-E06FDE3984C2}"/>
    <hyperlink ref="Q24:Q28" r:id="rId20" display="Unit Costs of Health and Social Care 2011 (Curtis, 2011), p.120" xr:uid="{0AD1C7A2-C7B8-47AA-AFCB-0D9B74580B52}"/>
    <hyperlink ref="Q112" r:id="rId21" xr:uid="{38735106-9624-4644-AD3E-7DF5041DE05A}"/>
    <hyperlink ref="Q115:Q119" r:id="rId22" display="Mental Health Promotion and Mental Illness Prevention: the economic case (Knapp et al, 2011)" xr:uid="{19852E7E-6275-470C-B978-78C9AAB7F101}"/>
    <hyperlink ref="Q114" r:id="rId23" display="Unit Costs of Health &amp; Social Care 2014 (Curtis, 2014), p.88" xr:uid="{FD82C477-FA4F-4CE2-97E6-F19A57D534F1}"/>
    <hyperlink ref="Q120" r:id="rId24" display="Mental Health Promotion and Mental Illness Prevention: the economic case (Knapp et al, 2011)" xr:uid="{488AF917-E2F6-4D22-B216-C88C2F9195E7}"/>
    <hyperlink ref="Q121" r:id="rId25" display="Mental Health Promotion and Mental Illness Prevention: the economic case (Knapp et al, 2011)" xr:uid="{946054B6-F8AF-4D71-AB78-E86BA87BEA2C}"/>
    <hyperlink ref="Q122" r:id="rId26" display="Mental Health Promotion and Mental Illness Prevention: the economic case (Knapp et al, 2011)" xr:uid="{43BCFAC3-F52B-4D6B-807A-356030CC5E1E}"/>
    <hyperlink ref="Q123" r:id="rId27" display="Mental Health Promotion and Mental Illness Prevention: the economic case (Knapp et al, 2011)" xr:uid="{AFC490D3-252A-4D6C-A1C3-BCB0F6235994}"/>
    <hyperlink ref="Q124" r:id="rId28" display="Mental Health Promotion and Mental Illness Prevention: the economic case (Knapp et al, 2011)" xr:uid="{5D159A27-7AB1-45BC-A694-0E9F2E7F1CCD}"/>
    <hyperlink ref="Q32" r:id="rId29" xr:uid="{60B444E3-D62A-4759-86C2-A60089D1E074}"/>
    <hyperlink ref="Q3" r:id="rId30" xr:uid="{99FC4F2F-BFB5-407C-BADC-4B3F3563190C}"/>
    <hyperlink ref="Q98" r:id="rId31" display="Unit Costs of Health &amp; Social Care 2014 (Curtis, 2014), p.88" xr:uid="{53EAFD9E-3A51-4F75-9483-0EB5CD1585BA}"/>
    <hyperlink ref="Q84" r:id="rId32" display="What is NHS-funded nursing care? (NHS website, 2013)" xr:uid="{04B044B2-0760-4FA7-A35F-54266F6F07EB}"/>
    <hyperlink ref="Q57" r:id="rId33" display="Adult Social Care Activity and Finance Report, England - 2020-21, Reference Data Tables, Table 54" xr:uid="{CBDAF6B8-F136-4050-8285-0B746130B23E}"/>
    <hyperlink ref="Q94" r:id="rId34" display="Unit Costs of Health &amp; Social Care 2016 (Curtis, 2016), p.97" xr:uid="{633C42BF-2059-48E4-8894-8977C21D8190}"/>
    <hyperlink ref="Q95" r:id="rId35" display="Unit Costs of Health &amp; Social Care 2016 (Curtis, 2016), p.97" xr:uid="{21B8444E-F2D8-4B00-AEA1-E76D02FB3609}"/>
    <hyperlink ref="Q96" r:id="rId36" display="Unit Costs of Health &amp; Social Care 2016 (Curtis, 2016), p.97" xr:uid="{7D7B3F1D-9758-4C2F-ADC6-6FFDB5A3E81D}"/>
    <hyperlink ref="Q97" r:id="rId37" display="Unit Costs of Health &amp; Social Care 2016 (Curtis, 2016), p.97" xr:uid="{4D885208-CCE5-4C9A-B327-FD55B508933A}"/>
    <hyperlink ref="Q86" r:id="rId38" xr:uid="{C354B717-5CA3-4A2A-8E37-6293C9377BA1}"/>
    <hyperlink ref="Q87" r:id="rId39" xr:uid="{855A9684-49F3-4B54-9C81-0809F73D2D16}"/>
    <hyperlink ref="Q88" r:id="rId40" xr:uid="{E926AED4-E0A5-4F25-9063-843CC3514316}"/>
    <hyperlink ref="Q89" r:id="rId41" xr:uid="{EB784B51-9938-4CDB-872F-6B686ECC265B}"/>
    <hyperlink ref="Q102" r:id="rId42" display="Unit Costs of Health and Social Care 2011 (Curtis, 2011), p.93" xr:uid="{FA2A7440-87B6-44AE-B8B7-D208A99B1670}"/>
    <hyperlink ref="Q128" r:id="rId43" display="Unit Costs of Health &amp; Social Care 2017 (Curtis, 2017), p.156" xr:uid="{DEC49B0A-33E2-4A23-9EDA-5789BFF1E122}"/>
    <hyperlink ref="Q132" r:id="rId44" display="Unit Costs of Health &amp; Social Care 2017 (Curtis, 2017), p.156" xr:uid="{3B6D951D-328D-43A6-876E-028889CACDDE}"/>
    <hyperlink ref="Q90" r:id="rId45" display="Unit Costs of Health &amp; Social Care 2021 (Jones, 2021). p130" xr:uid="{D66FAA99-5725-4173-9F9F-C5279C18440E}"/>
    <hyperlink ref="Q29" r:id="rId46" xr:uid="{A4236067-22AA-4D53-9969-58124ACA7827}"/>
    <hyperlink ref="Q126" r:id="rId47" display="Unit Costs of Health &amp; Social Care 2021 (Jones, 2021). p 122" xr:uid="{18986034-E8F8-4322-9417-9569F0ED8BF3}"/>
    <hyperlink ref="Q99" r:id="rId48" xr:uid="{BC50FECA-5418-4E70-88C1-23FD30A23006}"/>
    <hyperlink ref="Q103" r:id="rId49" display="Unit Costs of Health and Social Care 2011 (Curtis, 2011), p.93" xr:uid="{9A8BD10F-D9D9-4E0E-840C-F12DD77A788B}"/>
    <hyperlink ref="Q100" r:id="rId50" display="Unit Costs of Health &amp; Social Care 2020 (Curtis, 2020). p 89" xr:uid="{5D2834E2-3BA9-4553-B17D-2B43B68AD9DD}"/>
    <hyperlink ref="Q101" r:id="rId51" display="Unit Costs of Health &amp; Social Care 2020 (Curtis, 2020). p 89" xr:uid="{CD39D897-A07D-402E-B712-BD4BF1666ADF}"/>
    <hyperlink ref="Q129" r:id="rId52" xr:uid="{80F13243-3593-4112-BF7C-EB09552BA508}"/>
    <hyperlink ref="Q130" r:id="rId53" xr:uid="{FB3E6C00-5518-4E22-B9A1-75FF1B29EEE7}"/>
    <hyperlink ref="Q131" r:id="rId54" xr:uid="{39982B12-8545-47C2-9D23-24158A47C7A8}"/>
    <hyperlink ref="Q9" r:id="rId55" xr:uid="{FE1C7CF3-7E3B-4DB1-A452-B0D02F739AC6}"/>
    <hyperlink ref="Q8" r:id="rId56" xr:uid="{ECEE8C22-C74F-4241-8AB6-C19A766222E4}"/>
    <hyperlink ref="Q7" r:id="rId57" xr:uid="{8EB1786B-C564-4CA6-AF10-F48AF4A37C09}"/>
    <hyperlink ref="Q6" r:id="rId58" xr:uid="{4C3FAB37-E7F7-475B-B3FF-E21BFECEC314}"/>
    <hyperlink ref="Q5" r:id="rId59" xr:uid="{6A535EC6-0A95-4E9E-A5F7-27FDBA818940}"/>
    <hyperlink ref="Q4" r:id="rId60" xr:uid="{F0BD2E3B-B4CC-40ED-B2C1-6384BFB567B4}"/>
    <hyperlink ref="Q16" r:id="rId61" xr:uid="{8B72A5A6-00D9-4EE2-BCF5-D784BB13CA5F}"/>
    <hyperlink ref="Q18" r:id="rId62" xr:uid="{53729E62-8B7F-4AA8-A168-53B0DE9ED9B1}"/>
    <hyperlink ref="Q17" r:id="rId63" xr:uid="{9E2A797D-86CD-4DD7-BB92-ACE1AFAC15B0}"/>
    <hyperlink ref="Q43" r:id="rId64" xr:uid="{4EACF788-44FC-4C18-B4CD-7F906B224FA3}"/>
    <hyperlink ref="Q125" r:id="rId65" xr:uid="{A5FC75DC-F97A-40E1-B98C-70567AC20F7F}"/>
    <hyperlink ref="Q83" r:id="rId66" display="Adult Social Care Activity and Finance Report, England - 2020-21, Reference Data Tables, Table 54" xr:uid="{A9576A8D-E44E-4489-B6A2-2DB790CCAB03}"/>
    <hyperlink ref="Q82" r:id="rId67" display="Adult Social Care Activity and Finance Report, England - 2020-21, Reference Data Tables, Table 54" xr:uid="{0E2DAEDA-9FCC-4391-89DB-5599F00E44BA}"/>
    <hyperlink ref="Q91" r:id="rId68" display="Adult Social Care Activity and Finance Report, England - 2020-21, Reference Data Tables, Table 54" xr:uid="{9CE2A79B-F2E4-458E-BDEB-F40651893FFF}"/>
    <hyperlink ref="Q92" r:id="rId69" display="Adult Social Care Activity and Finance Report, England - 2020-21, Reference Data Tables, Table 54" xr:uid="{6196DBF8-8A4C-4C2F-8408-C72535062497}"/>
    <hyperlink ref="Q93" r:id="rId70" display="Adult Social Care Activity and Finance Report, England - 2020-21, Reference Data Tables, Table 54" xr:uid="{67466810-D377-432D-B288-35D7725E93F3}"/>
    <hyperlink ref="Q62" r:id="rId71" xr:uid="{29E5880D-9B21-49B0-8A01-F6E5BF84936F}"/>
    <hyperlink ref="Q63" r:id="rId72" xr:uid="{121D55A0-015B-4DC9-BE0B-45D40E095249}"/>
    <hyperlink ref="Q64" r:id="rId73" display="Adult Social Care Activity and Finance Report, England - 2020-21, Reference Data Tables, Table 54" xr:uid="{08C9FA63-4E50-462E-8F1D-9F3997536322}"/>
    <hyperlink ref="Q65" r:id="rId74" display="Adult Social Care Activity and Finance Report, England - 2020-21, Reference Data Tables, Table 54" xr:uid="{490BC34A-F48F-4001-A3CF-30BBD5F68E42}"/>
    <hyperlink ref="Q66" r:id="rId75" xr:uid="{1D31CC5E-2F64-4B09-84DA-B349100BD098}"/>
    <hyperlink ref="Q67" r:id="rId76" xr:uid="{FB8FC073-379C-4D74-8A08-58B0401DD5D0}"/>
    <hyperlink ref="Q68" r:id="rId77" display="Adult Social Care Activity and Finance Report, England - 2020-21, Reference Data Tables, Table 54" xr:uid="{F1316FAF-1747-4988-B3E4-A3B8E41E9A83}"/>
    <hyperlink ref="Q69" r:id="rId78" display="Adult Social Care Activity and Finance Report, England - 2020-21, Reference Data Tables, Table 54" xr:uid="{E34B1C28-BA88-410C-A454-B7774CD05481}"/>
    <hyperlink ref="Q70" r:id="rId79" xr:uid="{65304ED0-73BF-402C-953E-4462A6FCA054}"/>
    <hyperlink ref="Q71" r:id="rId80" xr:uid="{0823E7F2-E0B0-4AFB-A7C3-45DB96F5F175}"/>
    <hyperlink ref="Q72" r:id="rId81" display="Adult Social Care Activity and Finance Report, England - 2020-21, Reference Data Tables, Table 54" xr:uid="{7B56308D-F246-46BB-A697-A32569C2828F}"/>
    <hyperlink ref="Q73" r:id="rId82" display="Adult Social Care Activity and Finance Report, England - 2020-21, Reference Data Tables, Table 54" xr:uid="{A88E2EA9-C5FD-40DB-8E13-4A3D45943565}"/>
    <hyperlink ref="Q74" r:id="rId83" xr:uid="{DEE3F35A-6FEC-47E7-BC30-F910152F38F5}"/>
    <hyperlink ref="Q75" r:id="rId84" xr:uid="{30427846-021C-4A96-9180-FF8CADAAF188}"/>
    <hyperlink ref="Q76" r:id="rId85" display="Adult Social Care Activity and Finance Report, England - 2020-21, Reference Data Tables, Table 54" xr:uid="{5B6E3767-E1B6-4BE0-80BB-F981066B6821}"/>
    <hyperlink ref="Q77" r:id="rId86" display="Adult Social Care Activity and Finance Report, England - 2020-21, Reference Data Tables, Table 54" xr:uid="{7672AED1-0242-4AA9-8690-D26CEE0C874D}"/>
    <hyperlink ref="Q78" r:id="rId87" xr:uid="{778B6764-66A1-4C65-AD38-AE24AAF279DD}"/>
    <hyperlink ref="Q79" r:id="rId88" xr:uid="{8911527A-6AC4-4486-A067-EFBC2446E964}"/>
    <hyperlink ref="Q80" r:id="rId89" display="Adult Social Care Activity and Finance Report, England - 2020-21, Reference Data Tables, Table 54" xr:uid="{BF3F6BA0-406E-4BAC-8DA1-F49D2CE31061}"/>
    <hyperlink ref="Q81" r:id="rId90" display="Adult Social Care Activity and Finance Report, England - 2020-21, Reference Data Tables, Table 54" xr:uid="{8EA39060-FAED-4311-A81C-327749A220C4}"/>
    <hyperlink ref="Q30" r:id="rId91" xr:uid="{59104444-2FD4-41BA-B5DF-A86CDB84B049}"/>
    <hyperlink ref="Q31" r:id="rId92" xr:uid="{FFADCFF2-07B9-4C72-A0AE-70A812DE8F88}"/>
    <hyperlink ref="Q34" r:id="rId93" xr:uid="{E96FCD17-BCF1-4FB1-BBC8-1A8FEA4ABBDD}"/>
    <hyperlink ref="Q35" r:id="rId94" xr:uid="{416DBB3B-FC54-4F81-A800-AA342C2D6BB2}"/>
    <hyperlink ref="Q58" r:id="rId95" display="Unit Costs of Health &amp; Social Care 2021 (Jones, 2021), p.71" xr:uid="{4BD98BAA-42F1-4541-952D-252C41F4690C}"/>
    <hyperlink ref="Q59" r:id="rId96" display="Unit Costs of Health &amp; Social Care 2021 (Jones, 2021), p.71" xr:uid="{0BBBE35D-1C73-46B7-AEF4-2A761566D4D1}"/>
    <hyperlink ref="Q60" r:id="rId97" display="Unit Costs of Health &amp; Social Care 2021 (Jones, 2021), p.71" xr:uid="{249F0B4A-F8DB-4989-AA20-FFF8B7784AC6}"/>
    <hyperlink ref="Q61" r:id="rId98" display="Unit Costs of Health &amp; Social Care 2021 (Jones, 2021), p.71" xr:uid="{C44ADB47-1730-4E04-A10B-624056D2BA62}"/>
    <hyperlink ref="Q104" r:id="rId99" display="Unit Costs of Health &amp; Social Care 2021 (Jones, 2021). p130" xr:uid="{434DF37E-B6A5-409B-A9C1-B7961A42C226}"/>
    <hyperlink ref="Q105" r:id="rId100" display="Unit Costs of Health &amp; Social Care 2021 (Jones, 2021). p130" xr:uid="{9744A71E-CA2E-4582-9925-CD3D682DE10D}"/>
    <hyperlink ref="Q106" r:id="rId101" display="Unit Costs of Health &amp; Social Care 2021 (Jones, 2021). p130" xr:uid="{7ADDE670-529C-411C-A448-FEE1EC7AF9B9}"/>
    <hyperlink ref="Q107" r:id="rId102" display="Unit Costs of Health &amp; Social Care 2021 (Jones, 2021). p130" xr:uid="{9B979719-B457-463B-9E03-F3AD539D9977}"/>
    <hyperlink ref="Q127" r:id="rId103" display="Unit Costs of Health &amp; Social Care 2021 (Jones, 2021). p 122" xr:uid="{CA95E4FB-868A-4F25-8209-1726BF14CC11}"/>
    <hyperlink ref="Q85" r:id="rId104" xr:uid="{37CC89CD-75E0-4940-A904-BFD3E82A1A82}"/>
    <hyperlink ref="Q108" r:id="rId105" xr:uid="{C7C0A04C-8A01-40F3-8684-4F711FFF65D5}"/>
    <hyperlink ref="Q111" r:id="rId106" xr:uid="{742C2C9F-C18D-48F6-B278-90A011C3916B}"/>
    <hyperlink ref="Q109" r:id="rId107" xr:uid="{0EB3A23E-EF44-4D55-B5C8-E9789D2B32BB}"/>
    <hyperlink ref="Q110" r:id="rId108" xr:uid="{4FE9ACB4-A057-456C-B7D6-26A363DC33CD}"/>
  </hyperlinks>
  <pageMargins left="0.74803149606299213" right="0.74803149606299213" top="0.98425196850393704" bottom="0.98425196850393704" header="0.51181102362204722" footer="0.51181102362204722"/>
  <pageSetup paperSize="8" scale="44" orientation="landscape" r:id="rId109"/>
  <headerFooter alignWithMargins="0"/>
  <extLst>
    <ext xmlns:x14="http://schemas.microsoft.com/office/spreadsheetml/2009/9/main" uri="{78C0D931-6437-407d-A8EE-F0AAD7539E65}">
      <x14:conditionalFormattings>
        <x14:conditionalFormatting xmlns:xm="http://schemas.microsoft.com/office/excel/2006/main">
          <x14:cfRule type="cellIs" priority="86" operator="equal" id="{4AFFC276-5DDB-4E8C-BA6A-E3834070CF0D}">
            <xm:f>Lookups!$V$12</xm:f>
            <x14:dxf>
              <fill>
                <patternFill>
                  <bgColor rgb="FF92D050"/>
                </patternFill>
              </fill>
            </x14:dxf>
          </x14:cfRule>
          <x14:cfRule type="cellIs" priority="87" operator="equal" id="{89941D01-76A4-4FC2-A407-65A4CEBE3853}">
            <xm:f>Lookups!$V$11</xm:f>
            <x14:dxf>
              <fill>
                <patternFill>
                  <bgColor rgb="FFFFC000"/>
                </patternFill>
              </fill>
            </x14:dxf>
          </x14:cfRule>
          <x14:cfRule type="cellIs" priority="88" operator="equal" id="{19A44426-AB6D-42DC-BA4F-10E22AF9B096}">
            <xm:f>Lookups!$V$10</xm:f>
            <x14:dxf>
              <fill>
                <patternFill>
                  <bgColor rgb="FFFF0000"/>
                </patternFill>
              </fill>
            </x14:dxf>
          </x14:cfRule>
          <xm:sqref>R86:R132 R4:R84</xm:sqref>
        </x14:conditionalFormatting>
        <x14:conditionalFormatting xmlns:xm="http://schemas.microsoft.com/office/excel/2006/main">
          <x14:cfRule type="cellIs" priority="83" operator="equal" id="{2AC998BB-12DF-4160-91B7-942708B2FE8F}">
            <xm:f>Lookups!$V$12</xm:f>
            <x14:dxf>
              <fill>
                <patternFill>
                  <bgColor rgb="FF92D050"/>
                </patternFill>
              </fill>
            </x14:dxf>
          </x14:cfRule>
          <x14:cfRule type="cellIs" priority="84" operator="equal" id="{7961DD8F-C10A-4996-96E2-1C801277948D}">
            <xm:f>Lookups!$V$11</xm:f>
            <x14:dxf>
              <fill>
                <patternFill>
                  <bgColor rgb="FFFFC000"/>
                </patternFill>
              </fill>
            </x14:dxf>
          </x14:cfRule>
          <x14:cfRule type="cellIs" priority="85" operator="equal" id="{F3870E3A-E301-4637-A9C3-A591EA478FC0}">
            <xm:f>Lookups!$V$10</xm:f>
            <x14:dxf>
              <fill>
                <patternFill>
                  <bgColor rgb="FFFF0000"/>
                </patternFill>
              </fill>
            </x14:dxf>
          </x14:cfRule>
          <xm:sqref>R3</xm:sqref>
        </x14:conditionalFormatting>
        <x14:conditionalFormatting xmlns:xm="http://schemas.microsoft.com/office/excel/2006/main">
          <x14:cfRule type="cellIs" priority="14" operator="between" id="{6142AA1E-98CA-4067-A7A0-F1C0559DD4BB}">
            <xm:f>Lookups!$T$10</xm:f>
            <xm:f>Lookups!$T$30</xm:f>
            <x14:dxf>
              <font>
                <color auto="1"/>
              </font>
              <fill>
                <patternFill>
                  <bgColor rgb="FFFF0000"/>
                </patternFill>
              </fill>
            </x14:dxf>
          </x14:cfRule>
          <x14:cfRule type="cellIs" priority="15" operator="between" id="{B463FAC4-B8B0-43F3-AEB5-2C6BB024E0F5}">
            <xm:f>Lookups!$T$31</xm:f>
            <xm:f>Lookups!$T$35</xm:f>
            <x14:dxf>
              <fill>
                <patternFill>
                  <bgColor rgb="FFFFC000"/>
                </patternFill>
              </fill>
            </x14:dxf>
          </x14:cfRule>
          <x14:cfRule type="cellIs" priority="16" operator="between" id="{F1BAC36E-0963-4050-9559-15396BC8638A}">
            <xm:f>Lookups!$T$36</xm:f>
            <xm:f>Lookups!$T$40</xm:f>
            <x14:dxf>
              <fill>
                <patternFill>
                  <bgColor rgb="FF92D050"/>
                </patternFill>
              </fill>
            </x14:dxf>
          </x14:cfRule>
          <xm:sqref>I86:I132 I3:I84 L86:L132 L3:L84 O86:O132 O3:O84</xm:sqref>
        </x14:conditionalFormatting>
        <x14:conditionalFormatting xmlns:xm="http://schemas.microsoft.com/office/excel/2006/main">
          <x14:cfRule type="cellIs" priority="13" operator="between" id="{75D9D628-FD60-47B4-AFDD-6E792CC6C60E}">
            <xm:f>Lookups!$T$10</xm:f>
            <xm:f>Lookups!$T$30</xm:f>
            <x14:dxf>
              <font>
                <color auto="1"/>
              </font>
              <fill>
                <patternFill>
                  <bgColor rgb="FFFF0000"/>
                </patternFill>
              </fill>
            </x14:dxf>
          </x14:cfRule>
          <xm:sqref>L81</xm:sqref>
        </x14:conditionalFormatting>
        <x14:conditionalFormatting xmlns:xm="http://schemas.microsoft.com/office/excel/2006/main">
          <x14:cfRule type="cellIs" priority="10" operator="equal" id="{CAF5A409-CFB7-4546-9991-6BB00834EB58}">
            <xm:f>Lookups!$V$12</xm:f>
            <x14:dxf>
              <fill>
                <patternFill>
                  <bgColor rgb="FF92D050"/>
                </patternFill>
              </fill>
            </x14:dxf>
          </x14:cfRule>
          <x14:cfRule type="cellIs" priority="11" operator="equal" id="{95991389-E02C-41FA-BE72-781B2767B639}">
            <xm:f>Lookups!$V$11</xm:f>
            <x14:dxf>
              <fill>
                <patternFill>
                  <bgColor rgb="FFFFC000"/>
                </patternFill>
              </fill>
            </x14:dxf>
          </x14:cfRule>
          <x14:cfRule type="cellIs" priority="12" operator="equal" id="{6D0C4DC3-A6C9-45B8-B3E2-0D81EB587F9F}">
            <xm:f>Lookups!$V$10</xm:f>
            <x14:dxf>
              <fill>
                <patternFill>
                  <bgColor rgb="FFFF0000"/>
                </patternFill>
              </fill>
            </x14:dxf>
          </x14:cfRule>
          <xm:sqref>R85</xm:sqref>
        </x14:conditionalFormatting>
        <x14:conditionalFormatting xmlns:xm="http://schemas.microsoft.com/office/excel/2006/main">
          <x14:cfRule type="cellIs" priority="7" operator="between" id="{8FE88D6C-C3B8-440B-91D8-01A5BC1387E3}">
            <xm:f>Lookups!$T$10</xm:f>
            <xm:f>Lookups!$T$30</xm:f>
            <x14:dxf>
              <font>
                <color auto="1"/>
              </font>
              <fill>
                <patternFill>
                  <bgColor rgb="FFFF0000"/>
                </patternFill>
              </fill>
            </x14:dxf>
          </x14:cfRule>
          <x14:cfRule type="cellIs" priority="8" operator="between" id="{8ED38076-BD9F-45E3-B5BD-187CB094D70A}">
            <xm:f>Lookups!$T$31</xm:f>
            <xm:f>Lookups!$T$35</xm:f>
            <x14:dxf>
              <fill>
                <patternFill>
                  <bgColor rgb="FFFFC000"/>
                </patternFill>
              </fill>
            </x14:dxf>
          </x14:cfRule>
          <x14:cfRule type="cellIs" priority="9" operator="between" id="{E91EBC25-FA98-4B80-A8BC-892E51BE8410}">
            <xm:f>Lookups!$T$36</xm:f>
            <xm:f>Lookups!$T$40</xm:f>
            <x14:dxf>
              <fill>
                <patternFill>
                  <bgColor rgb="FF92D050"/>
                </patternFill>
              </fill>
            </x14:dxf>
          </x14:cfRule>
          <xm:sqref>O85 L85 I85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000"/>
  </sheetPr>
  <dimension ref="B1:X119"/>
  <sheetViews>
    <sheetView showGridLines="0" zoomScale="90" zoomScaleNormal="90" workbookViewId="0"/>
  </sheetViews>
  <sheetFormatPr defaultColWidth="9" defaultRowHeight="13.8" x14ac:dyDescent="0.25"/>
  <cols>
    <col min="1" max="1" width="1.69921875" style="5" customWidth="1"/>
    <col min="2" max="2" width="24.69921875" style="5" bestFit="1" customWidth="1"/>
    <col min="3" max="3" width="1.69921875" customWidth="1"/>
    <col min="4" max="4" width="40.69921875" style="5" customWidth="1"/>
    <col min="5" max="5" width="1.69921875" style="5" customWidth="1"/>
    <col min="6" max="6" width="21.69921875" style="5" customWidth="1"/>
    <col min="7" max="7" width="36.19921875" style="5" customWidth="1"/>
    <col min="8" max="8" width="1.69921875" style="5" customWidth="1"/>
    <col min="9" max="9" width="28.69921875" style="5" customWidth="1"/>
    <col min="10" max="10" width="1.69921875" style="5" customWidth="1"/>
    <col min="11" max="11" width="7.69921875" style="5" customWidth="1"/>
    <col min="12" max="12" width="3.5" style="5" customWidth="1"/>
    <col min="13" max="13" width="10.19921875" style="5" customWidth="1"/>
    <col min="14" max="16" width="13.69921875" style="5" customWidth="1"/>
    <col min="17" max="17" width="0.69921875" style="5" customWidth="1"/>
    <col min="18" max="18" width="13.69921875" style="5" customWidth="1"/>
    <col min="19" max="19" width="1.5" style="5" customWidth="1"/>
    <col min="20" max="20" width="22.19921875" style="5" customWidth="1"/>
    <col min="21" max="21" width="1.69921875" style="5" customWidth="1"/>
    <col min="22" max="22" width="18.69921875" style="5" customWidth="1"/>
    <col min="23" max="23" width="1.69921875" style="5" customWidth="1"/>
    <col min="24" max="16384" width="9" style="5"/>
  </cols>
  <sheetData>
    <row r="1" spans="2:24" ht="14.4" thickBot="1" x14ac:dyDescent="0.3">
      <c r="K1" s="6"/>
      <c r="L1" s="6"/>
      <c r="M1" s="6"/>
      <c r="N1" s="6"/>
      <c r="O1" s="7"/>
      <c r="P1" s="6"/>
      <c r="Q1" s="6"/>
      <c r="R1" s="6"/>
      <c r="S1" s="6"/>
      <c r="T1" s="6"/>
      <c r="U1" s="6"/>
      <c r="W1" s="6"/>
    </row>
    <row r="2" spans="2:24" ht="30.6" thickTop="1" x14ac:dyDescent="0.25">
      <c r="B2" s="279" t="s">
        <v>700</v>
      </c>
      <c r="C2" s="280"/>
      <c r="D2" s="280"/>
      <c r="E2" s="280"/>
      <c r="F2" s="281"/>
      <c r="G2" s="282"/>
      <c r="K2" s="6"/>
      <c r="L2" s="6"/>
      <c r="N2" s="6"/>
      <c r="O2" s="7"/>
      <c r="P2" s="6"/>
      <c r="Q2" s="6"/>
      <c r="R2" s="6"/>
      <c r="S2" s="6"/>
      <c r="T2" s="6"/>
      <c r="U2" s="6"/>
      <c r="W2" s="6"/>
    </row>
    <row r="3" spans="2:24" ht="9" customHeight="1" x14ac:dyDescent="0.25">
      <c r="B3" s="32"/>
      <c r="C3" s="31"/>
      <c r="D3" s="31"/>
      <c r="E3" s="31"/>
      <c r="F3" s="247"/>
      <c r="G3" s="33"/>
      <c r="K3" s="6"/>
      <c r="L3" s="6"/>
      <c r="M3" s="6"/>
      <c r="N3" s="6"/>
      <c r="O3" s="7"/>
      <c r="P3" s="6"/>
      <c r="Q3" s="6"/>
      <c r="R3" s="6"/>
      <c r="S3" s="6"/>
      <c r="T3" s="6"/>
      <c r="U3" s="6"/>
      <c r="W3" s="6"/>
    </row>
    <row r="4" spans="2:24" ht="79.5" customHeight="1" thickBot="1" x14ac:dyDescent="0.3">
      <c r="B4" s="283" t="s">
        <v>2139</v>
      </c>
      <c r="C4" s="284"/>
      <c r="D4" s="284"/>
      <c r="E4" s="284"/>
      <c r="F4" s="284"/>
      <c r="G4" s="285"/>
      <c r="K4" s="6"/>
      <c r="L4" s="6"/>
      <c r="M4" s="290" t="s">
        <v>2612</v>
      </c>
      <c r="N4" s="290"/>
      <c r="O4" s="290"/>
      <c r="P4" s="290"/>
      <c r="Q4" s="290"/>
      <c r="R4" s="290"/>
      <c r="S4" s="6"/>
      <c r="T4" s="6"/>
      <c r="U4" s="6"/>
      <c r="W4" s="6"/>
    </row>
    <row r="5" spans="2:24" ht="29.25" customHeight="1" thickTop="1" x14ac:dyDescent="0.25">
      <c r="K5" s="6"/>
      <c r="L5" s="6"/>
      <c r="M5" s="291" t="s">
        <v>1216</v>
      </c>
      <c r="N5" s="291"/>
      <c r="O5" s="291"/>
      <c r="P5" s="291"/>
      <c r="Q5" s="291"/>
      <c r="R5" s="291"/>
      <c r="S5" s="6"/>
      <c r="T5" s="6"/>
      <c r="U5" s="6"/>
      <c r="W5" s="6"/>
    </row>
    <row r="6" spans="2:24" ht="14.4" thickBot="1" x14ac:dyDescent="0.3">
      <c r="K6" s="6"/>
      <c r="L6" s="6"/>
      <c r="M6" s="6"/>
      <c r="N6" s="6"/>
      <c r="O6" s="7"/>
      <c r="P6" s="6"/>
      <c r="Q6" s="6"/>
      <c r="R6" s="6"/>
      <c r="S6" s="6"/>
      <c r="T6" s="6"/>
      <c r="U6" s="6"/>
      <c r="W6" s="6"/>
    </row>
    <row r="7" spans="2:24" ht="14.4" thickBot="1" x14ac:dyDescent="0.3">
      <c r="B7" s="28" t="s">
        <v>246</v>
      </c>
      <c r="D7" s="28" t="s">
        <v>247</v>
      </c>
      <c r="F7" s="286" t="s">
        <v>1251</v>
      </c>
      <c r="G7" s="287"/>
      <c r="I7" s="28" t="s">
        <v>176</v>
      </c>
      <c r="K7" s="6"/>
      <c r="L7" s="6"/>
      <c r="M7" s="288" t="s">
        <v>1253</v>
      </c>
      <c r="N7" s="289"/>
      <c r="O7" s="289"/>
      <c r="P7" s="289"/>
      <c r="Q7" s="289"/>
      <c r="R7" s="289"/>
      <c r="S7" s="6"/>
      <c r="T7" s="29" t="s">
        <v>180</v>
      </c>
      <c r="U7" s="6"/>
      <c r="V7" s="28" t="s">
        <v>1252</v>
      </c>
      <c r="W7" s="6"/>
      <c r="X7" s="28" t="s">
        <v>923</v>
      </c>
    </row>
    <row r="8" spans="2:24" x14ac:dyDescent="0.25">
      <c r="K8" s="6"/>
      <c r="L8" s="6"/>
      <c r="S8" s="6"/>
      <c r="T8" s="6"/>
      <c r="U8" s="6"/>
      <c r="W8" s="6"/>
    </row>
    <row r="9" spans="2:24" ht="51" customHeight="1" x14ac:dyDescent="0.25">
      <c r="B9" s="105"/>
      <c r="D9" s="105"/>
      <c r="F9" s="105" t="s">
        <v>203</v>
      </c>
      <c r="G9" s="105" t="s">
        <v>204</v>
      </c>
      <c r="I9" s="108"/>
      <c r="K9" s="99" t="s">
        <v>250</v>
      </c>
      <c r="L9" s="6"/>
      <c r="M9" s="30" t="s">
        <v>180</v>
      </c>
      <c r="N9" s="30" t="s">
        <v>841</v>
      </c>
      <c r="O9" s="30" t="s">
        <v>842</v>
      </c>
      <c r="P9" s="30" t="s">
        <v>1523</v>
      </c>
      <c r="Q9" s="63"/>
      <c r="R9" s="30" t="s">
        <v>843</v>
      </c>
      <c r="S9" s="6"/>
      <c r="T9" s="109"/>
      <c r="U9" s="6"/>
      <c r="V9" s="108"/>
      <c r="W9" s="6"/>
      <c r="X9" s="108"/>
    </row>
    <row r="10" spans="2:24" ht="13.5" customHeight="1" x14ac:dyDescent="0.25">
      <c r="B10" s="66" t="s">
        <v>177</v>
      </c>
      <c r="D10" s="3" t="s">
        <v>216</v>
      </c>
      <c r="F10" s="37" t="s">
        <v>147</v>
      </c>
      <c r="G10" s="3" t="s">
        <v>216</v>
      </c>
      <c r="I10" s="3" t="s">
        <v>1485</v>
      </c>
      <c r="K10" s="8"/>
      <c r="L10" s="6"/>
      <c r="M10" s="60" t="s">
        <v>251</v>
      </c>
      <c r="N10" s="62">
        <v>2.740900645430139</v>
      </c>
      <c r="O10" s="58">
        <f>N10/100</f>
        <v>2.7409006454301391E-2</v>
      </c>
      <c r="P10" s="59">
        <v>100</v>
      </c>
      <c r="Q10" s="6"/>
      <c r="R10" s="62">
        <f>P11/(1+O11)</f>
        <v>100</v>
      </c>
      <c r="S10" s="6"/>
      <c r="T10" s="181" t="s">
        <v>251</v>
      </c>
      <c r="U10" s="6"/>
      <c r="V10" s="88" t="s">
        <v>149</v>
      </c>
      <c r="W10" s="6"/>
      <c r="X10" s="9" t="s">
        <v>922</v>
      </c>
    </row>
    <row r="11" spans="2:24" x14ac:dyDescent="0.25">
      <c r="B11" s="3" t="s">
        <v>847</v>
      </c>
      <c r="D11" s="3" t="s">
        <v>237</v>
      </c>
      <c r="F11" s="37" t="s">
        <v>697</v>
      </c>
      <c r="G11" s="3" t="s">
        <v>207</v>
      </c>
      <c r="I11" s="3" t="s">
        <v>2351</v>
      </c>
      <c r="K11" s="251" t="s">
        <v>1522</v>
      </c>
      <c r="L11" s="6"/>
      <c r="M11" s="60" t="s">
        <v>252</v>
      </c>
      <c r="N11" s="62">
        <v>2.6105809989975297</v>
      </c>
      <c r="O11" s="58">
        <f t="shared" ref="O11:O36" si="0">N11/100</f>
        <v>2.6105809989975297E-2</v>
      </c>
      <c r="P11" s="59">
        <f t="shared" ref="P11:P36" si="1">(1+O11)*P10</f>
        <v>102.61058099899753</v>
      </c>
      <c r="Q11" s="6"/>
      <c r="R11" s="62">
        <f>P12/(1+O12)</f>
        <v>102.61058099899753</v>
      </c>
      <c r="S11" s="6"/>
      <c r="T11" s="181" t="s">
        <v>252</v>
      </c>
      <c r="U11" s="6"/>
      <c r="V11" s="88" t="s">
        <v>152</v>
      </c>
      <c r="W11" s="6"/>
      <c r="X11" s="9" t="s">
        <v>923</v>
      </c>
    </row>
    <row r="12" spans="2:24" x14ac:dyDescent="0.25">
      <c r="B12" s="3" t="s">
        <v>848</v>
      </c>
      <c r="D12" s="3" t="s">
        <v>220</v>
      </c>
      <c r="F12" s="37" t="s">
        <v>214</v>
      </c>
      <c r="G12" s="3" t="s">
        <v>671</v>
      </c>
      <c r="I12" s="3" t="s">
        <v>148</v>
      </c>
      <c r="K12" s="6"/>
      <c r="L12" s="6"/>
      <c r="M12" s="60" t="s">
        <v>253</v>
      </c>
      <c r="N12" s="62">
        <v>1.4129036512119009</v>
      </c>
      <c r="O12" s="58">
        <f t="shared" si="0"/>
        <v>1.4129036512119008E-2</v>
      </c>
      <c r="P12" s="59">
        <f t="shared" si="1"/>
        <v>104.06036964446211</v>
      </c>
      <c r="Q12" s="6"/>
      <c r="R12" s="62">
        <f t="shared" ref="R12:R40" si="2">P13/(1+O13)</f>
        <v>104.06036964446211</v>
      </c>
      <c r="S12" s="6"/>
      <c r="T12" s="181" t="s">
        <v>253</v>
      </c>
      <c r="U12" s="6"/>
      <c r="V12" s="88" t="s">
        <v>154</v>
      </c>
      <c r="W12" s="6"/>
    </row>
    <row r="13" spans="2:24" x14ac:dyDescent="0.25">
      <c r="B13" s="3" t="s">
        <v>1304</v>
      </c>
      <c r="D13" s="3" t="s">
        <v>1768</v>
      </c>
      <c r="F13" s="37" t="s">
        <v>215</v>
      </c>
      <c r="G13" s="3" t="s">
        <v>1943</v>
      </c>
      <c r="I13" s="3" t="s">
        <v>650</v>
      </c>
      <c r="K13" s="6"/>
      <c r="L13" s="6"/>
      <c r="M13" s="60" t="s">
        <v>181</v>
      </c>
      <c r="N13" s="62">
        <v>3.0820065343289511</v>
      </c>
      <c r="O13" s="58">
        <f t="shared" si="0"/>
        <v>3.0820065343289512E-2</v>
      </c>
      <c r="P13" s="59">
        <f t="shared" si="1"/>
        <v>107.2675170365513</v>
      </c>
      <c r="Q13" s="6"/>
      <c r="R13" s="62">
        <f>P14/(1+O14)</f>
        <v>107.2675170365513</v>
      </c>
      <c r="S13" s="6"/>
      <c r="T13" s="181" t="s">
        <v>181</v>
      </c>
      <c r="U13" s="6"/>
      <c r="V13"/>
      <c r="W13" s="6"/>
    </row>
    <row r="14" spans="2:24" x14ac:dyDescent="0.25">
      <c r="B14" s="3" t="s">
        <v>226</v>
      </c>
      <c r="D14" s="3" t="s">
        <v>2647</v>
      </c>
      <c r="F14" s="37" t="s">
        <v>206</v>
      </c>
      <c r="G14" s="3" t="s">
        <v>682</v>
      </c>
      <c r="I14" s="3" t="s">
        <v>357</v>
      </c>
      <c r="K14" s="6"/>
      <c r="L14" s="6"/>
      <c r="M14" s="60" t="s">
        <v>182</v>
      </c>
      <c r="N14" s="62">
        <v>3.5696588638690407</v>
      </c>
      <c r="O14" s="58">
        <f t="shared" si="0"/>
        <v>3.5696588638690407E-2</v>
      </c>
      <c r="P14" s="59">
        <f t="shared" si="1"/>
        <v>111.09660146649878</v>
      </c>
      <c r="Q14" s="6"/>
      <c r="R14" s="62">
        <f t="shared" si="2"/>
        <v>111.09660146649878</v>
      </c>
      <c r="S14" s="6"/>
      <c r="T14" s="181" t="s">
        <v>182</v>
      </c>
      <c r="U14" s="6"/>
      <c r="W14" s="6"/>
    </row>
    <row r="15" spans="2:24" x14ac:dyDescent="0.25">
      <c r="B15" s="3" t="s">
        <v>219</v>
      </c>
      <c r="D15" s="3" t="s">
        <v>2646</v>
      </c>
      <c r="F15" s="37" t="s">
        <v>1179</v>
      </c>
      <c r="G15" s="3" t="s">
        <v>695</v>
      </c>
      <c r="I15" s="3" t="s">
        <v>263</v>
      </c>
      <c r="K15" s="6"/>
      <c r="L15" s="6"/>
      <c r="M15" s="60" t="s">
        <v>183</v>
      </c>
      <c r="N15" s="62">
        <v>-0.42283208222663088</v>
      </c>
      <c r="O15" s="58">
        <f t="shared" si="0"/>
        <v>-4.2283208222663087E-3</v>
      </c>
      <c r="P15" s="59">
        <f t="shared" si="1"/>
        <v>110.62684939323496</v>
      </c>
      <c r="Q15" s="6"/>
      <c r="R15" s="62">
        <f t="shared" si="2"/>
        <v>110.62684939323496</v>
      </c>
      <c r="S15" s="6"/>
      <c r="T15" s="181" t="s">
        <v>183</v>
      </c>
      <c r="U15" s="6"/>
      <c r="W15" s="6"/>
    </row>
    <row r="16" spans="2:24" x14ac:dyDescent="0.25">
      <c r="B16" s="3" t="s">
        <v>179</v>
      </c>
      <c r="D16" s="91" t="s">
        <v>2660</v>
      </c>
      <c r="F16" s="37" t="s">
        <v>198</v>
      </c>
      <c r="G16" s="3" t="s">
        <v>150</v>
      </c>
      <c r="I16" s="3" t="s">
        <v>2486</v>
      </c>
      <c r="K16" s="6"/>
      <c r="L16" s="6"/>
      <c r="M16" s="60" t="s">
        <v>184</v>
      </c>
      <c r="N16" s="62">
        <v>2.283968205562112</v>
      </c>
      <c r="O16" s="58">
        <f t="shared" si="0"/>
        <v>2.2839682055621119E-2</v>
      </c>
      <c r="P16" s="59">
        <f t="shared" si="1"/>
        <v>113.15353146019153</v>
      </c>
      <c r="Q16" s="6"/>
      <c r="R16" s="62">
        <f t="shared" si="2"/>
        <v>113.15353146019153</v>
      </c>
      <c r="S16" s="6"/>
      <c r="T16" s="181" t="s">
        <v>184</v>
      </c>
      <c r="U16" s="6"/>
      <c r="W16" s="6"/>
    </row>
    <row r="17" spans="2:23" x14ac:dyDescent="0.25">
      <c r="B17" s="3" t="s">
        <v>234</v>
      </c>
      <c r="D17" s="3" t="s">
        <v>1381</v>
      </c>
      <c r="F17" s="37" t="s">
        <v>210</v>
      </c>
      <c r="G17" s="3" t="s">
        <v>218</v>
      </c>
      <c r="I17" s="3" t="s">
        <v>245</v>
      </c>
      <c r="K17" s="6"/>
      <c r="L17" s="6"/>
      <c r="M17" s="60" t="s">
        <v>187</v>
      </c>
      <c r="N17" s="62">
        <v>0.56760068867382885</v>
      </c>
      <c r="O17" s="58">
        <f t="shared" si="0"/>
        <v>5.6760068867382886E-3</v>
      </c>
      <c r="P17" s="59">
        <f t="shared" si="1"/>
        <v>113.79579168401834</v>
      </c>
      <c r="Q17" s="6"/>
      <c r="R17" s="62">
        <f t="shared" si="2"/>
        <v>113.79579168401834</v>
      </c>
      <c r="S17" s="6"/>
      <c r="T17" s="181" t="s">
        <v>187</v>
      </c>
      <c r="U17" s="6"/>
      <c r="W17" s="6"/>
    </row>
    <row r="18" spans="2:23" x14ac:dyDescent="0.25">
      <c r="B18" s="3" t="s">
        <v>690</v>
      </c>
      <c r="D18" s="3" t="s">
        <v>137</v>
      </c>
      <c r="F18" s="37" t="s">
        <v>796</v>
      </c>
      <c r="G18" s="3" t="s">
        <v>209</v>
      </c>
      <c r="I18" s="3" t="s">
        <v>1303</v>
      </c>
      <c r="K18" s="6"/>
      <c r="L18" s="6"/>
      <c r="M18" s="60" t="s">
        <v>186</v>
      </c>
      <c r="N18" s="62">
        <v>1.9869712198552789</v>
      </c>
      <c r="O18" s="58">
        <f t="shared" si="0"/>
        <v>1.986971219855279E-2</v>
      </c>
      <c r="P18" s="59">
        <f t="shared" si="1"/>
        <v>116.05688131418624</v>
      </c>
      <c r="Q18" s="6"/>
      <c r="R18" s="62">
        <f t="shared" si="2"/>
        <v>116.05688131418624</v>
      </c>
      <c r="S18" s="6"/>
      <c r="T18" s="181" t="s">
        <v>186</v>
      </c>
      <c r="U18" s="6"/>
      <c r="W18" s="6"/>
    </row>
    <row r="19" spans="2:23" x14ac:dyDescent="0.25">
      <c r="D19" s="3" t="s">
        <v>713</v>
      </c>
      <c r="F19" s="37" t="s">
        <v>243</v>
      </c>
      <c r="G19" s="3" t="s">
        <v>679</v>
      </c>
      <c r="I19" s="3" t="s">
        <v>1356</v>
      </c>
      <c r="K19" s="6"/>
      <c r="L19" s="6"/>
      <c r="M19" s="60" t="s">
        <v>185</v>
      </c>
      <c r="N19" s="62">
        <v>2.0876541133440387</v>
      </c>
      <c r="O19" s="58">
        <f t="shared" si="0"/>
        <v>2.0876541133440386E-2</v>
      </c>
      <c r="P19" s="59">
        <f t="shared" si="1"/>
        <v>118.47974757076067</v>
      </c>
      <c r="Q19" s="6"/>
      <c r="R19" s="62">
        <f>P20/(1+O20)</f>
        <v>118.47974757076067</v>
      </c>
      <c r="S19" s="6"/>
      <c r="T19" s="181" t="s">
        <v>185</v>
      </c>
      <c r="U19" s="6"/>
      <c r="W19" s="6"/>
    </row>
    <row r="20" spans="2:23" x14ac:dyDescent="0.25">
      <c r="B20" s="67"/>
      <c r="D20" s="3" t="s">
        <v>34</v>
      </c>
      <c r="F20" s="37" t="s">
        <v>162</v>
      </c>
      <c r="G20" s="3" t="s">
        <v>637</v>
      </c>
      <c r="I20" s="3" t="s">
        <v>1397</v>
      </c>
      <c r="K20" s="6"/>
      <c r="L20" s="6"/>
      <c r="M20" s="60" t="s">
        <v>188</v>
      </c>
      <c r="N20" s="62">
        <v>2.119478380269296</v>
      </c>
      <c r="O20" s="58">
        <f t="shared" si="0"/>
        <v>2.1194783802692959E-2</v>
      </c>
      <c r="P20" s="59">
        <f t="shared" si="1"/>
        <v>120.99090020552056</v>
      </c>
      <c r="Q20" s="6"/>
      <c r="R20" s="62">
        <f t="shared" si="2"/>
        <v>120.99090020552056</v>
      </c>
      <c r="S20" s="6"/>
      <c r="T20" s="181" t="s">
        <v>188</v>
      </c>
      <c r="U20" s="6"/>
      <c r="W20" s="6"/>
    </row>
    <row r="21" spans="2:23" x14ac:dyDescent="0.25">
      <c r="B21"/>
      <c r="D21" s="3" t="s">
        <v>155</v>
      </c>
      <c r="F21" s="37" t="s">
        <v>632</v>
      </c>
      <c r="G21" s="3" t="s">
        <v>265</v>
      </c>
      <c r="I21" s="3" t="s">
        <v>3246</v>
      </c>
      <c r="K21" s="6"/>
      <c r="L21" s="6"/>
      <c r="M21" s="60" t="s">
        <v>189</v>
      </c>
      <c r="N21" s="62">
        <v>2.5430504874740469</v>
      </c>
      <c r="O21" s="58">
        <f t="shared" si="0"/>
        <v>2.5430504874740471E-2</v>
      </c>
      <c r="P21" s="59">
        <f t="shared" si="1"/>
        <v>124.0677598829963</v>
      </c>
      <c r="Q21" s="6"/>
      <c r="R21" s="62">
        <f t="shared" si="2"/>
        <v>124.0677598829963</v>
      </c>
      <c r="S21" s="6"/>
      <c r="T21" s="181" t="s">
        <v>189</v>
      </c>
      <c r="U21" s="6"/>
      <c r="W21" s="6"/>
    </row>
    <row r="22" spans="2:23" x14ac:dyDescent="0.25">
      <c r="B22"/>
      <c r="D22" s="3" t="s">
        <v>1472</v>
      </c>
      <c r="F22" s="37" t="s">
        <v>668</v>
      </c>
      <c r="G22" s="3" t="s">
        <v>680</v>
      </c>
      <c r="I22" s="3" t="s">
        <v>353</v>
      </c>
      <c r="K22" s="6"/>
      <c r="L22" s="6"/>
      <c r="M22" s="60" t="s">
        <v>190</v>
      </c>
      <c r="N22" s="62">
        <v>2.9684936153706052</v>
      </c>
      <c r="O22" s="58">
        <f t="shared" si="0"/>
        <v>2.9684936153706053E-2</v>
      </c>
      <c r="P22" s="59">
        <f t="shared" si="1"/>
        <v>127.75070341385639</v>
      </c>
      <c r="Q22" s="6"/>
      <c r="R22" s="62">
        <f t="shared" si="2"/>
        <v>127.75070341385637</v>
      </c>
      <c r="S22" s="6"/>
      <c r="T22" s="181" t="s">
        <v>190</v>
      </c>
      <c r="U22" s="6"/>
      <c r="W22" s="6"/>
    </row>
    <row r="23" spans="2:23" x14ac:dyDescent="0.25">
      <c r="B23"/>
      <c r="D23" s="3" t="s">
        <v>633</v>
      </c>
      <c r="F23" s="37" t="s">
        <v>2584</v>
      </c>
      <c r="G23" s="3" t="s">
        <v>214</v>
      </c>
      <c r="I23" s="3" t="s">
        <v>355</v>
      </c>
      <c r="K23" s="6"/>
      <c r="L23" s="6"/>
      <c r="M23" s="60" t="s">
        <v>191</v>
      </c>
      <c r="N23" s="62">
        <v>2.9639704610906228</v>
      </c>
      <c r="O23" s="58">
        <f t="shared" si="0"/>
        <v>2.9639704610906228E-2</v>
      </c>
      <c r="P23" s="59">
        <f t="shared" si="1"/>
        <v>131.53719652687857</v>
      </c>
      <c r="Q23" s="6"/>
      <c r="R23" s="62">
        <f t="shared" si="2"/>
        <v>131.53719652687857</v>
      </c>
      <c r="S23" s="6"/>
      <c r="T23" s="181" t="s">
        <v>191</v>
      </c>
      <c r="U23" s="6"/>
      <c r="W23" s="6"/>
    </row>
    <row r="24" spans="2:23" x14ac:dyDescent="0.25">
      <c r="B24"/>
      <c r="D24" s="3" t="s">
        <v>157</v>
      </c>
      <c r="F24" s="37" t="s">
        <v>212</v>
      </c>
      <c r="G24" s="3" t="s">
        <v>638</v>
      </c>
      <c r="I24" s="3" t="s">
        <v>792</v>
      </c>
      <c r="K24" s="6"/>
      <c r="L24" s="6"/>
      <c r="M24" s="60" t="s">
        <v>192</v>
      </c>
      <c r="N24" s="62">
        <v>2.9658728296396766</v>
      </c>
      <c r="O24" s="58">
        <f t="shared" si="0"/>
        <v>2.9658728296396767E-2</v>
      </c>
      <c r="P24" s="59">
        <f t="shared" si="1"/>
        <v>135.438422499539</v>
      </c>
      <c r="Q24" s="6"/>
      <c r="R24" s="62">
        <f t="shared" si="2"/>
        <v>135.438422499539</v>
      </c>
      <c r="S24" s="6"/>
      <c r="T24" s="181" t="s">
        <v>192</v>
      </c>
      <c r="U24" s="6"/>
      <c r="W24" s="6"/>
    </row>
    <row r="25" spans="2:23" x14ac:dyDescent="0.25">
      <c r="B25"/>
      <c r="D25" s="3" t="s">
        <v>1496</v>
      </c>
      <c r="F25" s="37" t="s">
        <v>213</v>
      </c>
      <c r="G25" s="3" t="s">
        <v>669</v>
      </c>
      <c r="I25" s="3" t="s">
        <v>705</v>
      </c>
      <c r="K25" s="6"/>
      <c r="L25" s="6"/>
      <c r="M25" s="60" t="s">
        <v>193</v>
      </c>
      <c r="N25" s="62">
        <v>2.7951035639356094</v>
      </c>
      <c r="O25" s="58">
        <f t="shared" si="0"/>
        <v>2.7951035639356095E-2</v>
      </c>
      <c r="P25" s="59">
        <f t="shared" si="1"/>
        <v>139.2240666737618</v>
      </c>
      <c r="Q25" s="6"/>
      <c r="R25" s="62">
        <f t="shared" si="2"/>
        <v>139.2240666737618</v>
      </c>
      <c r="S25" s="6"/>
      <c r="T25" s="181" t="s">
        <v>193</v>
      </c>
      <c r="U25" s="6"/>
      <c r="W25" s="6"/>
    </row>
    <row r="26" spans="2:23" x14ac:dyDescent="0.25">
      <c r="B26"/>
      <c r="D26" s="3" t="s">
        <v>228</v>
      </c>
      <c r="F26"/>
      <c r="G26" s="3" t="s">
        <v>206</v>
      </c>
      <c r="I26" s="3" t="s">
        <v>655</v>
      </c>
      <c r="K26" s="6"/>
      <c r="L26" s="6"/>
      <c r="M26" s="60" t="s">
        <v>194</v>
      </c>
      <c r="N26" s="62">
        <v>2.9623605628239424</v>
      </c>
      <c r="O26" s="58">
        <f t="shared" si="0"/>
        <v>2.9623605628239423E-2</v>
      </c>
      <c r="P26" s="59">
        <f t="shared" si="1"/>
        <v>143.34838551886503</v>
      </c>
      <c r="Q26" s="6"/>
      <c r="R26" s="62">
        <f t="shared" si="2"/>
        <v>143.34838551886503</v>
      </c>
      <c r="S26" s="6"/>
      <c r="T26" s="181" t="s">
        <v>194</v>
      </c>
      <c r="U26" s="6"/>
      <c r="W26" s="6"/>
    </row>
    <row r="27" spans="2:23" x14ac:dyDescent="0.25">
      <c r="B27"/>
      <c r="D27" s="3" t="s">
        <v>1324</v>
      </c>
      <c r="F27"/>
      <c r="G27" s="3" t="s">
        <v>685</v>
      </c>
      <c r="I27" s="3" t="s">
        <v>1480</v>
      </c>
      <c r="K27" s="6"/>
      <c r="L27" s="6"/>
      <c r="M27" s="60" t="s">
        <v>195</v>
      </c>
      <c r="N27" s="62">
        <v>1.5713264637738886</v>
      </c>
      <c r="O27" s="58">
        <f>N27/100</f>
        <v>1.5713264637738887E-2</v>
      </c>
      <c r="P27" s="59">
        <f t="shared" si="1"/>
        <v>145.60085663591559</v>
      </c>
      <c r="Q27" s="6"/>
      <c r="R27" s="62">
        <f t="shared" si="2"/>
        <v>145.60085663591559</v>
      </c>
      <c r="S27" s="6"/>
      <c r="T27" s="181" t="s">
        <v>195</v>
      </c>
      <c r="U27" s="6"/>
      <c r="W27" s="6"/>
    </row>
    <row r="28" spans="2:23" x14ac:dyDescent="0.25">
      <c r="B28"/>
      <c r="D28" s="3" t="s">
        <v>239</v>
      </c>
      <c r="F28"/>
      <c r="G28" s="3" t="s">
        <v>1179</v>
      </c>
      <c r="I28" s="3" t="s">
        <v>670</v>
      </c>
      <c r="K28" s="6"/>
      <c r="L28" s="6"/>
      <c r="M28" s="60" t="s">
        <v>196</v>
      </c>
      <c r="N28" s="62">
        <v>1.6675926999553847</v>
      </c>
      <c r="O28" s="58">
        <f t="shared" si="0"/>
        <v>1.6675926999553847E-2</v>
      </c>
      <c r="P28" s="59">
        <f t="shared" si="1"/>
        <v>148.02888589224861</v>
      </c>
      <c r="Q28" s="6"/>
      <c r="R28" s="62">
        <f t="shared" si="2"/>
        <v>148.02888589224861</v>
      </c>
      <c r="S28" s="6"/>
      <c r="T28" s="181" t="s">
        <v>196</v>
      </c>
      <c r="U28" s="6"/>
      <c r="W28" s="6"/>
    </row>
    <row r="29" spans="2:23" x14ac:dyDescent="0.25">
      <c r="B29" s="67"/>
      <c r="D29" s="3" t="s">
        <v>693</v>
      </c>
      <c r="F29"/>
      <c r="G29" s="3" t="s">
        <v>198</v>
      </c>
      <c r="I29" s="3" t="s">
        <v>654</v>
      </c>
      <c r="K29" s="6"/>
      <c r="L29" s="6"/>
      <c r="M29" s="60" t="s">
        <v>197</v>
      </c>
      <c r="N29" s="62">
        <v>1.5105123368213307</v>
      </c>
      <c r="O29" s="58">
        <f t="shared" si="0"/>
        <v>1.5105123368213307E-2</v>
      </c>
      <c r="P29" s="59">
        <f t="shared" si="1"/>
        <v>150.26488047571021</v>
      </c>
      <c r="Q29" s="6"/>
      <c r="R29" s="62">
        <f t="shared" si="2"/>
        <v>150.26488047571021</v>
      </c>
      <c r="S29" s="6"/>
      <c r="T29" s="181" t="s">
        <v>197</v>
      </c>
      <c r="U29" s="6"/>
      <c r="W29" s="6"/>
    </row>
    <row r="30" spans="2:23" x14ac:dyDescent="0.25">
      <c r="B30" s="67"/>
      <c r="D30" s="3" t="s">
        <v>235</v>
      </c>
      <c r="F30"/>
      <c r="G30" s="3" t="s">
        <v>160</v>
      </c>
      <c r="I30" s="3" t="s">
        <v>146</v>
      </c>
      <c r="K30" s="6"/>
      <c r="L30" s="6"/>
      <c r="M30" s="61" t="s">
        <v>254</v>
      </c>
      <c r="N30" s="62">
        <v>2.0164007012590828</v>
      </c>
      <c r="O30" s="58">
        <f t="shared" si="0"/>
        <v>2.0164007012590829E-2</v>
      </c>
      <c r="P30" s="59">
        <f t="shared" si="1"/>
        <v>153.29482257936854</v>
      </c>
      <c r="Q30" s="6"/>
      <c r="R30" s="62">
        <f t="shared" si="2"/>
        <v>153.29482257936854</v>
      </c>
      <c r="S30" s="6"/>
      <c r="T30" s="181" t="s">
        <v>254</v>
      </c>
      <c r="U30" s="6"/>
      <c r="W30" s="6"/>
    </row>
    <row r="31" spans="2:23" x14ac:dyDescent="0.25">
      <c r="B31" s="67"/>
      <c r="D31" s="3" t="s">
        <v>699</v>
      </c>
      <c r="F31"/>
      <c r="G31" s="3" t="s">
        <v>2692</v>
      </c>
      <c r="I31" s="3" t="s">
        <v>1387</v>
      </c>
      <c r="K31" s="6"/>
      <c r="L31" s="6"/>
      <c r="M31" s="61" t="s">
        <v>255</v>
      </c>
      <c r="N31" s="62">
        <v>2.2905713352991732</v>
      </c>
      <c r="O31" s="58">
        <f t="shared" si="0"/>
        <v>2.2905713352991731E-2</v>
      </c>
      <c r="P31" s="59">
        <f t="shared" si="1"/>
        <v>156.80614984386929</v>
      </c>
      <c r="Q31" s="6"/>
      <c r="R31" s="62">
        <f t="shared" si="2"/>
        <v>156.80614984386929</v>
      </c>
      <c r="S31" s="6"/>
      <c r="T31" s="15" t="s">
        <v>255</v>
      </c>
      <c r="U31" s="6"/>
      <c r="W31" s="6"/>
    </row>
    <row r="32" spans="2:23" x14ac:dyDescent="0.25">
      <c r="B32" s="67"/>
      <c r="D32" s="3" t="s">
        <v>236</v>
      </c>
      <c r="F32"/>
      <c r="G32" s="3" t="s">
        <v>681</v>
      </c>
      <c r="I32" s="3" t="s">
        <v>665</v>
      </c>
      <c r="K32" s="6"/>
      <c r="M32" s="61" t="s">
        <v>256</v>
      </c>
      <c r="N32" s="62">
        <v>1.1520679173064767</v>
      </c>
      <c r="O32" s="58">
        <f>N32/100</f>
        <v>1.1520679173064768E-2</v>
      </c>
      <c r="P32" s="59">
        <f>(1+O32)*P31</f>
        <v>158.61266318858404</v>
      </c>
      <c r="Q32" s="6"/>
      <c r="R32" s="62">
        <f t="shared" si="2"/>
        <v>158.61266318858404</v>
      </c>
      <c r="S32" s="6"/>
      <c r="T32" s="15" t="s">
        <v>256</v>
      </c>
      <c r="U32" s="6"/>
      <c r="W32" s="6"/>
    </row>
    <row r="33" spans="2:23" x14ac:dyDescent="0.25">
      <c r="B33" s="67"/>
      <c r="D33" s="3" t="s">
        <v>244</v>
      </c>
      <c r="F33"/>
      <c r="G33" s="3" t="s">
        <v>696</v>
      </c>
      <c r="I33" s="3" t="s">
        <v>640</v>
      </c>
      <c r="K33" s="6"/>
      <c r="L33" s="10"/>
      <c r="M33" s="61" t="s">
        <v>257</v>
      </c>
      <c r="N33" s="62">
        <v>0.62036054339813951</v>
      </c>
      <c r="O33" s="58">
        <f t="shared" si="0"/>
        <v>6.2036054339813951E-3</v>
      </c>
      <c r="P33" s="59">
        <f t="shared" si="1"/>
        <v>159.59663356783898</v>
      </c>
      <c r="Q33" s="6"/>
      <c r="R33" s="62">
        <f t="shared" si="2"/>
        <v>159.59663356783898</v>
      </c>
      <c r="S33" s="6"/>
      <c r="T33" s="15" t="s">
        <v>257</v>
      </c>
      <c r="U33" s="6"/>
      <c r="W33" s="6"/>
    </row>
    <row r="34" spans="2:23" x14ac:dyDescent="0.25">
      <c r="B34" s="67"/>
      <c r="D34" s="3" t="s">
        <v>178</v>
      </c>
      <c r="F34"/>
      <c r="G34" s="3" t="s">
        <v>667</v>
      </c>
      <c r="I34" s="3" t="s">
        <v>174</v>
      </c>
      <c r="K34" s="6"/>
      <c r="L34" s="10"/>
      <c r="M34" s="61" t="s">
        <v>258</v>
      </c>
      <c r="N34" s="62">
        <v>2.2364487488633387</v>
      </c>
      <c r="O34" s="58">
        <f t="shared" si="0"/>
        <v>2.2364487488633386E-2</v>
      </c>
      <c r="P34" s="59">
        <f t="shared" si="1"/>
        <v>163.1659304824949</v>
      </c>
      <c r="Q34" s="6"/>
      <c r="R34" s="62">
        <f t="shared" si="2"/>
        <v>163.1659304824949</v>
      </c>
      <c r="S34" s="6"/>
      <c r="T34" s="15" t="s">
        <v>258</v>
      </c>
      <c r="U34" s="6"/>
      <c r="W34" s="6"/>
    </row>
    <row r="35" spans="2:23" x14ac:dyDescent="0.25">
      <c r="B35" s="67"/>
      <c r="D35" s="3" t="s">
        <v>138</v>
      </c>
      <c r="F35"/>
      <c r="G35" s="3" t="s">
        <v>208</v>
      </c>
      <c r="I35" s="3" t="s">
        <v>641</v>
      </c>
      <c r="K35" s="6"/>
      <c r="L35" s="10"/>
      <c r="M35" s="61" t="s">
        <v>259</v>
      </c>
      <c r="N35" s="62">
        <v>1.7221307601009108</v>
      </c>
      <c r="O35" s="58">
        <f t="shared" si="0"/>
        <v>1.7221307601009109E-2</v>
      </c>
      <c r="P35" s="59">
        <f t="shared" si="1"/>
        <v>165.9758611613388</v>
      </c>
      <c r="Q35" s="6"/>
      <c r="R35" s="62">
        <f t="shared" si="2"/>
        <v>165.9758611613388</v>
      </c>
      <c r="S35" s="6"/>
      <c r="T35" s="15" t="s">
        <v>259</v>
      </c>
      <c r="U35" s="6"/>
      <c r="W35" s="6"/>
    </row>
    <row r="36" spans="2:23" x14ac:dyDescent="0.25">
      <c r="B36" s="67"/>
      <c r="D36" s="3" t="s">
        <v>645</v>
      </c>
      <c r="F36" s="67"/>
      <c r="G36" s="3" t="s">
        <v>243</v>
      </c>
      <c r="I36" s="3" t="s">
        <v>678</v>
      </c>
      <c r="K36" s="6"/>
      <c r="L36" s="10"/>
      <c r="M36" s="61" t="s">
        <v>260</v>
      </c>
      <c r="N36" s="62">
        <v>1.9517476060310168</v>
      </c>
      <c r="O36" s="58">
        <f t="shared" si="0"/>
        <v>1.9517476060310169E-2</v>
      </c>
      <c r="P36" s="59">
        <f t="shared" si="1"/>
        <v>169.21529105814457</v>
      </c>
      <c r="Q36" s="6"/>
      <c r="R36" s="62">
        <f t="shared" si="2"/>
        <v>169.21529105814457</v>
      </c>
      <c r="S36" s="6"/>
      <c r="T36" s="15" t="s">
        <v>260</v>
      </c>
      <c r="U36" s="6"/>
      <c r="W36" s="6"/>
    </row>
    <row r="37" spans="2:23" x14ac:dyDescent="0.25">
      <c r="B37" s="67"/>
      <c r="D37" s="3" t="s">
        <v>1806</v>
      </c>
      <c r="F37" s="67"/>
      <c r="G37" s="3" t="s">
        <v>162</v>
      </c>
      <c r="I37" s="3" t="s">
        <v>151</v>
      </c>
      <c r="K37" s="6"/>
      <c r="L37" s="10"/>
      <c r="M37" s="61" t="s">
        <v>261</v>
      </c>
      <c r="N37" s="62">
        <v>2.3388817614013591</v>
      </c>
      <c r="O37" s="58">
        <f>N37/100</f>
        <v>2.3388817614013589E-2</v>
      </c>
      <c r="P37" s="59">
        <f>(1+O37)*P36</f>
        <v>173.17303663820573</v>
      </c>
      <c r="Q37" s="6"/>
      <c r="R37" s="62">
        <f t="shared" si="2"/>
        <v>173.17303663820573</v>
      </c>
      <c r="S37" s="6"/>
      <c r="T37" s="15" t="s">
        <v>261</v>
      </c>
      <c r="U37" s="6"/>
      <c r="W37" s="6"/>
    </row>
    <row r="38" spans="2:23" x14ac:dyDescent="0.25">
      <c r="B38" s="67"/>
      <c r="D38" s="3" t="s">
        <v>225</v>
      </c>
      <c r="F38" s="67"/>
      <c r="G38" s="3" t="s">
        <v>632</v>
      </c>
      <c r="I38" s="3" t="s">
        <v>945</v>
      </c>
      <c r="K38" s="6"/>
      <c r="L38" s="10"/>
      <c r="M38" s="57" t="s">
        <v>1520</v>
      </c>
      <c r="N38" s="62">
        <v>5.836047503199401</v>
      </c>
      <c r="O38" s="58">
        <f>N38/100</f>
        <v>5.8360475031994014E-2</v>
      </c>
      <c r="P38" s="59">
        <f>(1+O38)*P37</f>
        <v>183.2794973191443</v>
      </c>
      <c r="Q38" s="6"/>
      <c r="R38" s="62">
        <f t="shared" si="2"/>
        <v>183.2794973191443</v>
      </c>
      <c r="S38" s="6"/>
      <c r="T38" s="15" t="s">
        <v>1520</v>
      </c>
      <c r="U38" s="6"/>
      <c r="W38" s="6"/>
    </row>
    <row r="39" spans="2:23" x14ac:dyDescent="0.25">
      <c r="B39" s="67"/>
      <c r="D39" s="3" t="s">
        <v>1305</v>
      </c>
      <c r="F39" s="67"/>
      <c r="G39" s="3" t="s">
        <v>201</v>
      </c>
      <c r="I39" s="3" t="s">
        <v>649</v>
      </c>
      <c r="K39" s="6"/>
      <c r="L39" s="10" t="s">
        <v>262</v>
      </c>
      <c r="M39" s="60" t="s">
        <v>1521</v>
      </c>
      <c r="N39" s="62">
        <v>-1.020788129640704</v>
      </c>
      <c r="O39" s="58">
        <f>N39/100</f>
        <v>-1.020788129640704E-2</v>
      </c>
      <c r="P39" s="59">
        <f>(1+O39)*P38</f>
        <v>181.40860196644533</v>
      </c>
      <c r="Q39" s="6"/>
      <c r="R39" s="62">
        <f>P40/(1+O40)</f>
        <v>181.40860196644533</v>
      </c>
      <c r="S39" s="6"/>
      <c r="T39" s="15" t="s">
        <v>1521</v>
      </c>
      <c r="U39" s="6"/>
      <c r="W39" s="6"/>
    </row>
    <row r="40" spans="2:23" x14ac:dyDescent="0.25">
      <c r="B40" s="67"/>
      <c r="D40" s="3" t="s">
        <v>659</v>
      </c>
      <c r="F40" s="67"/>
      <c r="G40" s="3" t="s">
        <v>199</v>
      </c>
      <c r="I40" s="3" t="s">
        <v>674</v>
      </c>
      <c r="K40" s="6"/>
      <c r="L40" s="10" t="s">
        <v>262</v>
      </c>
      <c r="M40" s="60" t="s">
        <v>1522</v>
      </c>
      <c r="N40" s="62">
        <v>4.0544779739719816</v>
      </c>
      <c r="O40" s="58">
        <f>N40/100</f>
        <v>4.0544779739719816E-2</v>
      </c>
      <c r="P40" s="59">
        <f>(1+O40)*P39</f>
        <v>188.76377377606536</v>
      </c>
      <c r="Q40" s="6"/>
      <c r="R40" s="62">
        <f t="shared" si="2"/>
        <v>188.76377377606536</v>
      </c>
      <c r="S40" s="6"/>
      <c r="T40" s="15" t="s">
        <v>1522</v>
      </c>
      <c r="U40" s="6"/>
      <c r="W40" s="6"/>
    </row>
    <row r="41" spans="2:23" x14ac:dyDescent="0.25">
      <c r="B41" s="67"/>
      <c r="D41" s="3" t="s">
        <v>646</v>
      </c>
      <c r="F41" s="67"/>
      <c r="G41" s="3" t="s">
        <v>2584</v>
      </c>
      <c r="I41" s="3" t="s">
        <v>26</v>
      </c>
      <c r="L41" s="10" t="s">
        <v>262</v>
      </c>
      <c r="M41" s="60" t="s">
        <v>2136</v>
      </c>
      <c r="N41" s="62">
        <v>2.4102219173580908</v>
      </c>
      <c r="O41" s="58">
        <f t="shared" ref="O41:O42" si="3">N41/100</f>
        <v>2.4102219173580908E-2</v>
      </c>
      <c r="P41" s="59">
        <f t="shared" ref="P41:P42" si="4">(1+O41)*P40</f>
        <v>193.31339962364834</v>
      </c>
      <c r="Q41" s="6"/>
      <c r="R41" s="62">
        <f t="shared" ref="R41" si="5">P42/(1+O42)</f>
        <v>193.31339962364834</v>
      </c>
      <c r="S41" s="6"/>
      <c r="T41" s="15" t="s">
        <v>2136</v>
      </c>
    </row>
    <row r="42" spans="2:23" ht="14.25" customHeight="1" x14ac:dyDescent="0.25">
      <c r="B42" s="67"/>
      <c r="D42" s="3" t="s">
        <v>2655</v>
      </c>
      <c r="F42" s="67"/>
      <c r="G42" s="3" t="s">
        <v>217</v>
      </c>
      <c r="I42" s="3" t="s">
        <v>656</v>
      </c>
      <c r="L42" s="10" t="s">
        <v>262</v>
      </c>
      <c r="M42" s="60" t="s">
        <v>2137</v>
      </c>
      <c r="N42" s="62">
        <v>1.8543270561598879</v>
      </c>
      <c r="O42" s="58">
        <f t="shared" si="3"/>
        <v>1.8543270561598879E-2</v>
      </c>
      <c r="P42" s="59">
        <f t="shared" si="4"/>
        <v>196.89806229605213</v>
      </c>
      <c r="Q42" s="6"/>
      <c r="R42" s="62">
        <f>P43/(1+O43)</f>
        <v>196.89806229605213</v>
      </c>
      <c r="S42" s="6"/>
      <c r="T42" s="15" t="s">
        <v>2137</v>
      </c>
    </row>
    <row r="43" spans="2:23" x14ac:dyDescent="0.25">
      <c r="B43" s="67"/>
      <c r="D43" s="3" t="s">
        <v>2661</v>
      </c>
      <c r="F43" s="67"/>
      <c r="G43" s="3" t="s">
        <v>213</v>
      </c>
      <c r="I43" s="3" t="s">
        <v>173</v>
      </c>
      <c r="L43" s="10" t="s">
        <v>262</v>
      </c>
      <c r="M43" s="60" t="s">
        <v>2138</v>
      </c>
      <c r="N43" s="62">
        <v>1.9530798172427088</v>
      </c>
      <c r="O43" s="58">
        <f t="shared" ref="O43:O44" si="6">N43/100</f>
        <v>1.9530798172427088E-2</v>
      </c>
      <c r="P43" s="59">
        <f t="shared" ref="P43:P44" si="7">(1+O43)*P42</f>
        <v>200.74363861129831</v>
      </c>
      <c r="Q43" s="6"/>
      <c r="R43" s="62">
        <f t="shared" ref="R43:R44" si="8">P44/(1+O44)</f>
        <v>200.74363861129831</v>
      </c>
      <c r="S43" s="6"/>
      <c r="T43" s="15" t="s">
        <v>2138</v>
      </c>
    </row>
    <row r="44" spans="2:23" x14ac:dyDescent="0.25">
      <c r="B44" s="67"/>
      <c r="D44" s="3" t="s">
        <v>1382</v>
      </c>
      <c r="F44" s="67"/>
      <c r="G44" s="3" t="s">
        <v>119</v>
      </c>
      <c r="I44" s="3" t="s">
        <v>163</v>
      </c>
      <c r="L44" s="10" t="s">
        <v>262</v>
      </c>
      <c r="M44" s="60" t="s">
        <v>2610</v>
      </c>
      <c r="N44" s="62">
        <v>2.0005459598703146</v>
      </c>
      <c r="O44" s="58">
        <f t="shared" si="6"/>
        <v>2.0005459598703146E-2</v>
      </c>
      <c r="P44" s="59">
        <f t="shared" si="7"/>
        <v>204.7596073632333</v>
      </c>
      <c r="Q44" s="6"/>
      <c r="R44" s="62">
        <f t="shared" si="8"/>
        <v>0</v>
      </c>
      <c r="S44" s="6"/>
      <c r="T44" s="60" t="s">
        <v>2610</v>
      </c>
    </row>
    <row r="45" spans="2:23" x14ac:dyDescent="0.25">
      <c r="B45" s="67"/>
      <c r="D45" s="3" t="s">
        <v>2659</v>
      </c>
      <c r="F45" s="67"/>
      <c r="G45" s="3" t="s">
        <v>202</v>
      </c>
      <c r="I45" s="3" t="s">
        <v>1448</v>
      </c>
    </row>
    <row r="46" spans="2:23" x14ac:dyDescent="0.25">
      <c r="B46" s="67"/>
      <c r="D46" s="3" t="s">
        <v>232</v>
      </c>
      <c r="F46" s="67"/>
      <c r="G46" s="3" t="s">
        <v>168</v>
      </c>
      <c r="I46" s="3" t="s">
        <v>1490</v>
      </c>
      <c r="M46" s="64" t="s">
        <v>2613</v>
      </c>
    </row>
    <row r="47" spans="2:23" x14ac:dyDescent="0.25">
      <c r="B47" s="67"/>
      <c r="D47" s="3" t="s">
        <v>1482</v>
      </c>
      <c r="F47" s="67"/>
      <c r="G47" s="3" t="s">
        <v>168</v>
      </c>
      <c r="I47" s="3" t="s">
        <v>159</v>
      </c>
      <c r="M47" s="64" t="s">
        <v>844</v>
      </c>
    </row>
    <row r="48" spans="2:23" x14ac:dyDescent="0.25">
      <c r="B48" s="67"/>
      <c r="D48" s="3" t="s">
        <v>1429</v>
      </c>
      <c r="F48" s="67"/>
      <c r="G48"/>
      <c r="I48" s="3" t="s">
        <v>158</v>
      </c>
      <c r="M48" s="278" t="s">
        <v>2611</v>
      </c>
      <c r="N48" s="278"/>
      <c r="O48" s="278"/>
      <c r="P48" s="278"/>
      <c r="Q48" s="278"/>
      <c r="R48" s="278"/>
      <c r="S48" s="278"/>
      <c r="T48" s="278"/>
    </row>
    <row r="49" spans="2:18" x14ac:dyDescent="0.25">
      <c r="B49" s="67"/>
      <c r="D49" s="3" t="s">
        <v>658</v>
      </c>
      <c r="F49" s="67"/>
      <c r="G49"/>
      <c r="I49" s="3" t="s">
        <v>652</v>
      </c>
      <c r="M49" s="64"/>
      <c r="N49" s="64"/>
      <c r="O49" s="64"/>
      <c r="P49" s="64"/>
      <c r="Q49" s="64"/>
      <c r="R49" s="64"/>
    </row>
    <row r="50" spans="2:18" x14ac:dyDescent="0.25">
      <c r="B50" s="67"/>
      <c r="D50" s="3" t="s">
        <v>231</v>
      </c>
      <c r="F50" s="67"/>
      <c r="G50"/>
      <c r="I50" s="3" t="s">
        <v>634</v>
      </c>
      <c r="M50" s="65"/>
    </row>
    <row r="51" spans="2:18" x14ac:dyDescent="0.25">
      <c r="B51" s="67"/>
      <c r="D51" s="3" t="s">
        <v>1200</v>
      </c>
      <c r="F51" s="67"/>
      <c r="G51"/>
      <c r="I51" s="3" t="s">
        <v>2478</v>
      </c>
    </row>
    <row r="52" spans="2:18" x14ac:dyDescent="0.25">
      <c r="B52" s="67"/>
      <c r="D52" s="3" t="s">
        <v>698</v>
      </c>
      <c r="G52"/>
      <c r="I52" s="3" t="s">
        <v>2443</v>
      </c>
    </row>
    <row r="53" spans="2:18" x14ac:dyDescent="0.25">
      <c r="D53" s="3" t="s">
        <v>1478</v>
      </c>
      <c r="G53"/>
      <c r="I53" s="3" t="s">
        <v>2479</v>
      </c>
    </row>
    <row r="54" spans="2:18" x14ac:dyDescent="0.25">
      <c r="D54" s="3" t="s">
        <v>2651</v>
      </c>
      <c r="G54"/>
      <c r="I54" s="3" t="s">
        <v>2482</v>
      </c>
    </row>
    <row r="55" spans="2:18" x14ac:dyDescent="0.25">
      <c r="D55" s="3" t="s">
        <v>694</v>
      </c>
      <c r="G55"/>
      <c r="I55" s="3" t="s">
        <v>648</v>
      </c>
    </row>
    <row r="56" spans="2:18" x14ac:dyDescent="0.25">
      <c r="D56" s="3" t="s">
        <v>2653</v>
      </c>
      <c r="G56"/>
      <c r="I56" s="3" t="s">
        <v>161</v>
      </c>
    </row>
    <row r="57" spans="2:18" x14ac:dyDescent="0.25">
      <c r="D57" s="3" t="s">
        <v>1458</v>
      </c>
      <c r="I57" s="3" t="s">
        <v>639</v>
      </c>
    </row>
    <row r="58" spans="2:18" x14ac:dyDescent="0.25">
      <c r="D58" s="3" t="s">
        <v>230</v>
      </c>
      <c r="I58" s="3" t="s">
        <v>2450</v>
      </c>
    </row>
    <row r="59" spans="2:18" x14ac:dyDescent="0.25">
      <c r="D59" s="3" t="s">
        <v>2657</v>
      </c>
      <c r="I59" s="3" t="s">
        <v>2450</v>
      </c>
    </row>
    <row r="60" spans="2:18" ht="26.4" x14ac:dyDescent="0.25">
      <c r="D60" s="3" t="s">
        <v>2649</v>
      </c>
      <c r="I60" s="91" t="s">
        <v>2469</v>
      </c>
    </row>
    <row r="61" spans="2:18" x14ac:dyDescent="0.25">
      <c r="D61" s="3" t="s">
        <v>1172</v>
      </c>
      <c r="I61" s="3" t="s">
        <v>170</v>
      </c>
    </row>
    <row r="62" spans="2:18" x14ac:dyDescent="0.25">
      <c r="D62" s="3" t="s">
        <v>660</v>
      </c>
      <c r="I62" s="3" t="s">
        <v>643</v>
      </c>
    </row>
    <row r="63" spans="2:18" x14ac:dyDescent="0.25">
      <c r="D63" s="3" t="s">
        <v>661</v>
      </c>
      <c r="I63" s="3" t="s">
        <v>642</v>
      </c>
    </row>
    <row r="64" spans="2:18" x14ac:dyDescent="0.25">
      <c r="D64" s="3" t="s">
        <v>661</v>
      </c>
      <c r="I64" s="3" t="s">
        <v>675</v>
      </c>
    </row>
    <row r="65" spans="4:9" x14ac:dyDescent="0.25">
      <c r="D65" s="3" t="s">
        <v>2648</v>
      </c>
      <c r="I65" s="3" t="s">
        <v>2473</v>
      </c>
    </row>
    <row r="66" spans="4:9" ht="26.4" x14ac:dyDescent="0.25">
      <c r="D66" s="3" t="s">
        <v>229</v>
      </c>
      <c r="I66" s="91" t="s">
        <v>2645</v>
      </c>
    </row>
    <row r="67" spans="4:9" x14ac:dyDescent="0.25">
      <c r="D67" s="3" t="s">
        <v>701</v>
      </c>
      <c r="I67" s="3" t="s">
        <v>1396</v>
      </c>
    </row>
    <row r="68" spans="4:9" x14ac:dyDescent="0.25">
      <c r="D68" s="3" t="s">
        <v>241</v>
      </c>
      <c r="I68" s="3" t="s">
        <v>1467</v>
      </c>
    </row>
    <row r="69" spans="4:9" x14ac:dyDescent="0.25">
      <c r="D69" s="3" t="s">
        <v>233</v>
      </c>
      <c r="I69" s="3" t="s">
        <v>165</v>
      </c>
    </row>
    <row r="70" spans="4:9" x14ac:dyDescent="0.25">
      <c r="D70" s="3" t="s">
        <v>2650</v>
      </c>
      <c r="I70" s="3" t="s">
        <v>664</v>
      </c>
    </row>
    <row r="71" spans="4:9" x14ac:dyDescent="0.25">
      <c r="D71" s="3" t="s">
        <v>224</v>
      </c>
      <c r="I71" s="3" t="s">
        <v>356</v>
      </c>
    </row>
    <row r="72" spans="4:9" x14ac:dyDescent="0.25">
      <c r="D72" s="3" t="s">
        <v>238</v>
      </c>
      <c r="I72" s="3" t="s">
        <v>1509</v>
      </c>
    </row>
    <row r="73" spans="4:9" x14ac:dyDescent="0.25">
      <c r="D73" s="3" t="s">
        <v>169</v>
      </c>
      <c r="I73" s="3" t="s">
        <v>692</v>
      </c>
    </row>
    <row r="74" spans="4:9" x14ac:dyDescent="0.25">
      <c r="D74" s="3" t="s">
        <v>647</v>
      </c>
      <c r="I74" s="3" t="s">
        <v>672</v>
      </c>
    </row>
    <row r="75" spans="4:9" x14ac:dyDescent="0.25">
      <c r="D75" s="3" t="s">
        <v>60</v>
      </c>
      <c r="I75" s="3" t="s">
        <v>653</v>
      </c>
    </row>
    <row r="76" spans="4:9" x14ac:dyDescent="0.25">
      <c r="D76" s="3" t="s">
        <v>662</v>
      </c>
      <c r="I76" s="3" t="s">
        <v>676</v>
      </c>
    </row>
    <row r="77" spans="4:9" x14ac:dyDescent="0.25">
      <c r="D77" s="3" t="s">
        <v>1749</v>
      </c>
      <c r="I77" s="3" t="s">
        <v>628</v>
      </c>
    </row>
    <row r="78" spans="4:9" x14ac:dyDescent="0.25">
      <c r="D78" s="3" t="s">
        <v>1394</v>
      </c>
      <c r="I78" s="3" t="s">
        <v>683</v>
      </c>
    </row>
    <row r="79" spans="4:9" x14ac:dyDescent="0.25">
      <c r="D79" s="3" t="s">
        <v>824</v>
      </c>
      <c r="I79" s="3" t="s">
        <v>626</v>
      </c>
    </row>
    <row r="80" spans="4:9" x14ac:dyDescent="0.25">
      <c r="D80" s="3" t="s">
        <v>2028</v>
      </c>
      <c r="I80" s="3" t="s">
        <v>172</v>
      </c>
    </row>
    <row r="81" spans="4:9" x14ac:dyDescent="0.25">
      <c r="D81" s="3" t="s">
        <v>1446</v>
      </c>
      <c r="I81" s="3" t="s">
        <v>2602</v>
      </c>
    </row>
    <row r="82" spans="4:9" x14ac:dyDescent="0.25">
      <c r="D82" s="3" t="s">
        <v>242</v>
      </c>
      <c r="I82" s="3" t="s">
        <v>2349</v>
      </c>
    </row>
    <row r="83" spans="4:9" x14ac:dyDescent="0.25">
      <c r="D83" s="3" t="s">
        <v>2658</v>
      </c>
      <c r="I83" s="3" t="s">
        <v>629</v>
      </c>
    </row>
    <row r="84" spans="4:9" x14ac:dyDescent="0.25">
      <c r="D84" s="3" t="s">
        <v>1494</v>
      </c>
      <c r="I84" s="3" t="s">
        <v>666</v>
      </c>
    </row>
    <row r="85" spans="4:9" x14ac:dyDescent="0.25">
      <c r="D85" s="3" t="s">
        <v>1497</v>
      </c>
      <c r="I85" s="3" t="s">
        <v>630</v>
      </c>
    </row>
    <row r="86" spans="4:9" x14ac:dyDescent="0.25">
      <c r="D86" s="3" t="s">
        <v>240</v>
      </c>
      <c r="I86" s="3" t="s">
        <v>354</v>
      </c>
    </row>
    <row r="87" spans="4:9" x14ac:dyDescent="0.25">
      <c r="D87" s="3" t="s">
        <v>1877</v>
      </c>
      <c r="I87" s="3" t="s">
        <v>2462</v>
      </c>
    </row>
    <row r="88" spans="4:9" x14ac:dyDescent="0.25">
      <c r="D88" s="3" t="s">
        <v>862</v>
      </c>
      <c r="I88" s="3" t="s">
        <v>686</v>
      </c>
    </row>
    <row r="89" spans="4:9" x14ac:dyDescent="0.25">
      <c r="D89" s="3" t="s">
        <v>861</v>
      </c>
      <c r="I89" s="3" t="s">
        <v>657</v>
      </c>
    </row>
    <row r="90" spans="4:9" x14ac:dyDescent="0.25">
      <c r="D90" s="3" t="s">
        <v>221</v>
      </c>
      <c r="I90" s="3" t="s">
        <v>806</v>
      </c>
    </row>
    <row r="91" spans="4:9" x14ac:dyDescent="0.25">
      <c r="D91" s="3" t="s">
        <v>38</v>
      </c>
      <c r="I91" s="3" t="s">
        <v>166</v>
      </c>
    </row>
    <row r="92" spans="4:9" x14ac:dyDescent="0.25">
      <c r="D92" s="3" t="s">
        <v>227</v>
      </c>
      <c r="I92" s="3" t="s">
        <v>448</v>
      </c>
    </row>
    <row r="93" spans="4:9" x14ac:dyDescent="0.25">
      <c r="D93" s="3" t="s">
        <v>644</v>
      </c>
      <c r="I93" s="3" t="s">
        <v>448</v>
      </c>
    </row>
    <row r="94" spans="4:9" x14ac:dyDescent="0.25">
      <c r="D94" s="3" t="s">
        <v>223</v>
      </c>
      <c r="I94" s="3" t="s">
        <v>153</v>
      </c>
    </row>
    <row r="95" spans="4:9" x14ac:dyDescent="0.25">
      <c r="D95" s="3" t="s">
        <v>1519</v>
      </c>
      <c r="I95" s="3" t="s">
        <v>625</v>
      </c>
    </row>
    <row r="96" spans="4:9" x14ac:dyDescent="0.25">
      <c r="D96" s="3" t="s">
        <v>222</v>
      </c>
      <c r="I96" s="3" t="s">
        <v>673</v>
      </c>
    </row>
    <row r="97" spans="4:9" ht="13.2" customHeight="1" x14ac:dyDescent="0.25">
      <c r="D97" s="3" t="s">
        <v>2652</v>
      </c>
      <c r="I97" s="3" t="s">
        <v>1371</v>
      </c>
    </row>
    <row r="98" spans="4:9" ht="13.95" customHeight="1" x14ac:dyDescent="0.25">
      <c r="D98" s="3" t="s">
        <v>1469</v>
      </c>
      <c r="I98" s="3" t="s">
        <v>2487</v>
      </c>
    </row>
    <row r="99" spans="4:9" ht="13.95" customHeight="1" x14ac:dyDescent="0.25">
      <c r="D99" s="3" t="s">
        <v>2654</v>
      </c>
      <c r="I99" s="3" t="s">
        <v>635</v>
      </c>
    </row>
    <row r="100" spans="4:9" ht="13.95" customHeight="1" x14ac:dyDescent="0.25">
      <c r="D100" s="3" t="s">
        <v>2656</v>
      </c>
      <c r="I100" s="3" t="s">
        <v>651</v>
      </c>
    </row>
    <row r="101" spans="4:9" ht="13.95" customHeight="1" x14ac:dyDescent="0.25">
      <c r="D101" s="3" t="s">
        <v>2293</v>
      </c>
      <c r="I101" s="3" t="s">
        <v>677</v>
      </c>
    </row>
    <row r="102" spans="4:9" ht="13.95" customHeight="1" x14ac:dyDescent="0.25">
      <c r="D102" s="3" t="s">
        <v>264</v>
      </c>
      <c r="I102" s="3" t="s">
        <v>156</v>
      </c>
    </row>
    <row r="103" spans="4:9" x14ac:dyDescent="0.25">
      <c r="D103" s="3" t="s">
        <v>171</v>
      </c>
      <c r="I103" s="3" t="s">
        <v>164</v>
      </c>
    </row>
    <row r="104" spans="4:9" x14ac:dyDescent="0.25">
      <c r="D104"/>
      <c r="I104" s="3" t="s">
        <v>167</v>
      </c>
    </row>
    <row r="105" spans="4:9" x14ac:dyDescent="0.25">
      <c r="D105"/>
      <c r="I105" s="13" t="s">
        <v>636</v>
      </c>
    </row>
    <row r="106" spans="4:9" x14ac:dyDescent="0.25">
      <c r="D106"/>
      <c r="I106" s="3" t="s">
        <v>624</v>
      </c>
    </row>
    <row r="107" spans="4:9" x14ac:dyDescent="0.25">
      <c r="I107" s="3" t="s">
        <v>663</v>
      </c>
    </row>
    <row r="108" spans="4:9" x14ac:dyDescent="0.25">
      <c r="I108"/>
    </row>
    <row r="109" spans="4:9" x14ac:dyDescent="0.25">
      <c r="I109"/>
    </row>
    <row r="110" spans="4:9" x14ac:dyDescent="0.25">
      <c r="I110"/>
    </row>
    <row r="111" spans="4:9" x14ac:dyDescent="0.25">
      <c r="I111"/>
    </row>
    <row r="112" spans="4: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sheetData>
  <sheetProtection sheet="1" objects="1" scenarios="1"/>
  <sortState xmlns:xlrd2="http://schemas.microsoft.com/office/spreadsheetml/2017/richdata2" ref="D11:D103">
    <sortCondition ref="D103"/>
  </sortState>
  <mergeCells count="7">
    <mergeCell ref="M48:T48"/>
    <mergeCell ref="B2:G2"/>
    <mergeCell ref="B4:G4"/>
    <mergeCell ref="F7:G7"/>
    <mergeCell ref="M7:R7"/>
    <mergeCell ref="M4:R4"/>
    <mergeCell ref="M5:R5"/>
  </mergeCells>
  <phoneticPr fontId="6" type="noConversion"/>
  <conditionalFormatting sqref="T10:T43">
    <cfRule type="cellIs" dxfId="5" priority="7" operator="between">
      <formula>$T$10</formula>
      <formula>$T$30</formula>
    </cfRule>
    <cfRule type="cellIs" dxfId="4" priority="8" operator="between">
      <formula>$T$31</formula>
      <formula>$T$35</formula>
    </cfRule>
    <cfRule type="cellIs" dxfId="3" priority="9" operator="between">
      <formula>$T$36</formula>
      <formula>$T$40</formula>
    </cfRule>
  </conditionalFormatting>
  <conditionalFormatting sqref="V10:V12">
    <cfRule type="cellIs" dxfId="2" priority="4" operator="equal">
      <formula>$V$12</formula>
    </cfRule>
    <cfRule type="cellIs" dxfId="1" priority="5" operator="equal">
      <formula>$V$11</formula>
    </cfRule>
    <cfRule type="cellIs" dxfId="0" priority="6" operator="equal">
      <formula>$V$10</formula>
    </cfRule>
  </conditionalFormatting>
  <dataValidations count="2">
    <dataValidation type="list" allowBlank="1" showInputMessage="1" showErrorMessage="1" sqref="I61:I62" xr:uid="{00000000-0002-0000-0A00-000000000000}">
      <formula1>Unit</formula1>
    </dataValidation>
    <dataValidation type="list" allowBlank="1" showInputMessage="1" showErrorMessage="1" sqref="K11" xr:uid="{19BE9846-9808-4003-BE66-B270BB31DEEF}">
      <formula1>Year</formula1>
    </dataValidation>
  </dataValidations>
  <hyperlinks>
    <hyperlink ref="M48" r:id="rId1" xr:uid="{F9E699B2-ECB7-48AF-AF34-7A6ACE8E559D}"/>
  </hyperlinks>
  <pageMargins left="0.75" right="0.75" top="1" bottom="1" header="0.5" footer="0.5"/>
  <pageSetup paperSize="8" scale="48"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tabColor theme="3" tint="0.39997558519241921"/>
  </sheetPr>
  <dimension ref="A2:E23"/>
  <sheetViews>
    <sheetView showGridLines="0" showRowColHeaders="0" zoomScale="90" zoomScaleNormal="90" workbookViewId="0">
      <pane ySplit="2" topLeftCell="A3" activePane="bottomLeft" state="frozen"/>
      <selection pane="bottomLeft"/>
    </sheetView>
  </sheetViews>
  <sheetFormatPr defaultColWidth="9" defaultRowHeight="13.2" x14ac:dyDescent="0.25"/>
  <cols>
    <col min="1" max="1" width="1.19921875" style="144" customWidth="1"/>
    <col min="2" max="2" width="11.69921875" style="154" customWidth="1"/>
    <col min="3" max="3" width="19.19921875" style="155" customWidth="1"/>
    <col min="4" max="4" width="125.19921875" style="156" customWidth="1"/>
    <col min="5" max="5" width="23.69921875" style="154" customWidth="1"/>
    <col min="6" max="6" width="1.19921875" style="147" customWidth="1"/>
    <col min="7" max="16384" width="9" style="147"/>
  </cols>
  <sheetData>
    <row r="2" spans="1:5" ht="26.4" x14ac:dyDescent="0.25">
      <c r="B2" s="145" t="s">
        <v>2097</v>
      </c>
      <c r="C2" s="196" t="s">
        <v>689</v>
      </c>
      <c r="D2" s="197" t="s">
        <v>2098</v>
      </c>
      <c r="E2" s="146" t="s">
        <v>2099</v>
      </c>
    </row>
    <row r="3" spans="1:5" s="149" customFormat="1" x14ac:dyDescent="0.25">
      <c r="A3" s="148"/>
      <c r="B3" s="325" t="s">
        <v>2100</v>
      </c>
      <c r="C3" s="326"/>
      <c r="D3" s="326"/>
      <c r="E3" s="327"/>
    </row>
    <row r="4" spans="1:5" s="149" customFormat="1" ht="26.4" x14ac:dyDescent="0.25">
      <c r="A4" s="150"/>
      <c r="B4" s="232" t="s">
        <v>2101</v>
      </c>
      <c r="C4" s="151" t="s">
        <v>2191</v>
      </c>
      <c r="D4" s="151" t="s">
        <v>3257</v>
      </c>
      <c r="E4" s="195">
        <v>11</v>
      </c>
    </row>
    <row r="5" spans="1:5" s="149" customFormat="1" ht="52.8" x14ac:dyDescent="0.25">
      <c r="A5" s="150"/>
      <c r="B5" s="232" t="s">
        <v>2269</v>
      </c>
      <c r="C5" s="151" t="s">
        <v>2270</v>
      </c>
      <c r="D5" s="151" t="s">
        <v>3251</v>
      </c>
      <c r="E5" s="195">
        <v>5</v>
      </c>
    </row>
    <row r="6" spans="1:5" s="149" customFormat="1" ht="39.6" x14ac:dyDescent="0.25">
      <c r="A6" s="150"/>
      <c r="B6" s="232" t="s">
        <v>2102</v>
      </c>
      <c r="C6" s="151" t="s">
        <v>2182</v>
      </c>
      <c r="D6" s="151" t="s">
        <v>2641</v>
      </c>
      <c r="E6" s="195">
        <v>31</v>
      </c>
    </row>
    <row r="7" spans="1:5" s="149" customFormat="1" ht="122.4" customHeight="1" x14ac:dyDescent="0.25">
      <c r="A7" s="150"/>
      <c r="B7" s="232" t="s">
        <v>2642</v>
      </c>
      <c r="C7" s="208" t="s">
        <v>2182</v>
      </c>
      <c r="D7" s="151" t="s">
        <v>3258</v>
      </c>
      <c r="E7" s="207">
        <v>81</v>
      </c>
    </row>
    <row r="8" spans="1:5" s="149" customFormat="1" x14ac:dyDescent="0.25">
      <c r="A8" s="150"/>
      <c r="B8" s="232" t="s">
        <v>2643</v>
      </c>
      <c r="C8" s="220" t="s">
        <v>2644</v>
      </c>
      <c r="D8" s="151" t="s">
        <v>3259</v>
      </c>
      <c r="E8" s="219">
        <v>0</v>
      </c>
    </row>
    <row r="9" spans="1:5" s="149" customFormat="1" ht="66" x14ac:dyDescent="0.25">
      <c r="A9" s="150"/>
      <c r="B9" s="292" t="s">
        <v>2103</v>
      </c>
      <c r="C9" s="297" t="s">
        <v>2182</v>
      </c>
      <c r="D9" s="205" t="s">
        <v>3252</v>
      </c>
      <c r="E9" s="252">
        <v>111</v>
      </c>
    </row>
    <row r="10" spans="1:5" s="149" customFormat="1" ht="26.4" x14ac:dyDescent="0.25">
      <c r="A10" s="150"/>
      <c r="B10" s="293"/>
      <c r="C10" s="298"/>
      <c r="D10" s="205" t="s">
        <v>3253</v>
      </c>
      <c r="E10" s="314"/>
    </row>
    <row r="11" spans="1:5" s="149" customFormat="1" ht="26.4" x14ac:dyDescent="0.25">
      <c r="A11" s="150"/>
      <c r="B11" s="293"/>
      <c r="C11" s="298"/>
      <c r="D11" s="205" t="s">
        <v>3254</v>
      </c>
      <c r="E11" s="314"/>
    </row>
    <row r="12" spans="1:5" s="149" customFormat="1" ht="26.4" x14ac:dyDescent="0.25">
      <c r="A12" s="150"/>
      <c r="B12" s="293"/>
      <c r="C12" s="298"/>
      <c r="D12" s="151" t="s">
        <v>3063</v>
      </c>
      <c r="E12" s="314"/>
    </row>
    <row r="13" spans="1:5" s="149" customFormat="1" x14ac:dyDescent="0.25">
      <c r="A13" s="150"/>
      <c r="B13" s="294"/>
      <c r="C13" s="299"/>
      <c r="D13" s="151" t="s">
        <v>2255</v>
      </c>
      <c r="E13" s="315"/>
    </row>
    <row r="14" spans="1:5" s="149" customFormat="1" ht="92.4" x14ac:dyDescent="0.25">
      <c r="A14" s="150"/>
      <c r="B14" s="232" t="s">
        <v>2104</v>
      </c>
      <c r="C14" s="151" t="s">
        <v>2182</v>
      </c>
      <c r="D14" s="151" t="s">
        <v>3255</v>
      </c>
      <c r="E14" s="195">
        <v>37</v>
      </c>
    </row>
    <row r="15" spans="1:5" s="149" customFormat="1" ht="52.8" x14ac:dyDescent="0.25">
      <c r="A15" s="150"/>
      <c r="B15" s="292" t="s">
        <v>2105</v>
      </c>
      <c r="C15" s="297" t="s">
        <v>2182</v>
      </c>
      <c r="D15" s="151" t="s">
        <v>3256</v>
      </c>
      <c r="E15" s="252">
        <v>55</v>
      </c>
    </row>
    <row r="16" spans="1:5" s="149" customFormat="1" ht="26.4" x14ac:dyDescent="0.25">
      <c r="A16" s="150"/>
      <c r="B16" s="293"/>
      <c r="C16" s="298"/>
      <c r="D16" s="151" t="s">
        <v>3115</v>
      </c>
      <c r="E16" s="314"/>
    </row>
    <row r="17" spans="1:5" s="149" customFormat="1" x14ac:dyDescent="0.25">
      <c r="A17" s="150"/>
      <c r="B17" s="293"/>
      <c r="C17" s="299"/>
      <c r="D17" s="151" t="s">
        <v>2183</v>
      </c>
      <c r="E17" s="315"/>
    </row>
    <row r="18" spans="1:5" s="149" customFormat="1" x14ac:dyDescent="0.25">
      <c r="A18" s="148"/>
      <c r="B18" s="325" t="s">
        <v>2106</v>
      </c>
      <c r="C18" s="326"/>
      <c r="D18" s="326"/>
      <c r="E18" s="327"/>
    </row>
    <row r="19" spans="1:5" ht="26.4" x14ac:dyDescent="0.25">
      <c r="B19" s="319" t="s">
        <v>2193</v>
      </c>
      <c r="C19" s="320"/>
      <c r="D19" s="152" t="s">
        <v>3247</v>
      </c>
      <c r="E19" s="316"/>
    </row>
    <row r="20" spans="1:5" ht="13.2" customHeight="1" x14ac:dyDescent="0.25">
      <c r="B20" s="319" t="s">
        <v>2192</v>
      </c>
      <c r="C20" s="320"/>
      <c r="D20" s="152" t="s">
        <v>3248</v>
      </c>
      <c r="E20" s="317"/>
    </row>
    <row r="21" spans="1:5" ht="13.2" customHeight="1" x14ac:dyDescent="0.25">
      <c r="B21" s="323" t="s">
        <v>2107</v>
      </c>
      <c r="C21" s="324"/>
      <c r="D21" s="153" t="s">
        <v>2662</v>
      </c>
      <c r="E21" s="317"/>
    </row>
    <row r="22" spans="1:5" ht="13.2" customHeight="1" x14ac:dyDescent="0.25">
      <c r="B22" s="295"/>
      <c r="C22" s="296"/>
      <c r="D22" s="153" t="s">
        <v>3249</v>
      </c>
      <c r="E22" s="317"/>
    </row>
    <row r="23" spans="1:5" ht="13.2" customHeight="1" x14ac:dyDescent="0.25">
      <c r="B23" s="321" t="s">
        <v>3265</v>
      </c>
      <c r="C23" s="322"/>
      <c r="D23" s="152" t="s">
        <v>3250</v>
      </c>
      <c r="E23" s="318"/>
    </row>
  </sheetData>
  <sheetProtection sheet="1" objects="1" scenarios="1"/>
  <mergeCells count="8">
    <mergeCell ref="B9:B13"/>
    <mergeCell ref="B20:C20"/>
    <mergeCell ref="B21:C22"/>
    <mergeCell ref="B23:C23"/>
    <mergeCell ref="B15:B17"/>
    <mergeCell ref="C15:C17"/>
    <mergeCell ref="B19:C19"/>
    <mergeCell ref="C9:C13"/>
  </mergeCells>
  <pageMargins left="0.74803149606299213" right="0.74803149606299213" top="0.98425196850393704" bottom="0.98425196850393704" header="0.51181102362204722" footer="0.51181102362204722"/>
  <pageSetup paperSize="8"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B1:E25"/>
  <sheetViews>
    <sheetView showGridLines="0" showRowColHeaders="0" zoomScale="90" zoomScaleNormal="90" workbookViewId="0"/>
  </sheetViews>
  <sheetFormatPr defaultColWidth="8.69921875" defaultRowHeight="13.8" x14ac:dyDescent="0.25"/>
  <cols>
    <col min="1" max="1" width="1.19921875" customWidth="1"/>
    <col min="2" max="2" width="1" customWidth="1"/>
    <col min="3" max="3" width="21.69921875" customWidth="1"/>
    <col min="4" max="4" width="143.5" customWidth="1"/>
    <col min="5" max="5" width="1" customWidth="1"/>
  </cols>
  <sheetData>
    <row r="1" spans="2:5" ht="7.5" customHeight="1" thickBot="1" x14ac:dyDescent="0.3">
      <c r="C1" s="23"/>
      <c r="D1" s="23"/>
    </row>
    <row r="2" spans="2:5" ht="30.6" thickTop="1" x14ac:dyDescent="0.5">
      <c r="B2" s="18"/>
      <c r="C2" s="258" t="s">
        <v>3264</v>
      </c>
      <c r="D2" s="259"/>
      <c r="E2" s="45"/>
    </row>
    <row r="3" spans="2:5" ht="10.95" customHeight="1" x14ac:dyDescent="0.3">
      <c r="B3" s="20"/>
      <c r="C3" s="2"/>
      <c r="D3" s="35"/>
      <c r="E3" s="19"/>
    </row>
    <row r="4" spans="2:5" ht="33.450000000000003" customHeight="1" x14ac:dyDescent="0.3">
      <c r="B4" s="20"/>
      <c r="C4" s="262" t="s">
        <v>3174</v>
      </c>
      <c r="D4" s="263"/>
      <c r="E4" s="19"/>
    </row>
    <row r="5" spans="2:5" ht="10.5" customHeight="1" x14ac:dyDescent="0.3">
      <c r="B5" s="20"/>
      <c r="C5" s="2"/>
      <c r="D5" s="35"/>
      <c r="E5" s="19"/>
    </row>
    <row r="6" spans="2:5" ht="52.5" customHeight="1" x14ac:dyDescent="0.3">
      <c r="B6" s="20"/>
      <c r="C6" s="273" t="s">
        <v>63</v>
      </c>
      <c r="D6" s="274"/>
      <c r="E6" s="19"/>
    </row>
    <row r="7" spans="2:5" ht="10.5" customHeight="1" x14ac:dyDescent="0.3">
      <c r="B7" s="20"/>
      <c r="C7" s="2"/>
      <c r="D7" s="35"/>
      <c r="E7" s="19"/>
    </row>
    <row r="8" spans="2:5" ht="54.75" customHeight="1" x14ac:dyDescent="0.3">
      <c r="B8" s="20"/>
      <c r="C8" s="273" t="s">
        <v>2354</v>
      </c>
      <c r="D8" s="274"/>
      <c r="E8" s="19"/>
    </row>
    <row r="9" spans="2:5" ht="10.5" customHeight="1" x14ac:dyDescent="0.3">
      <c r="B9" s="20"/>
      <c r="C9" s="2"/>
      <c r="D9" s="35"/>
      <c r="E9" s="19"/>
    </row>
    <row r="10" spans="2:5" ht="36.75" customHeight="1" x14ac:dyDescent="0.3">
      <c r="B10" s="20"/>
      <c r="C10" s="273" t="s">
        <v>3175</v>
      </c>
      <c r="D10" s="274"/>
      <c r="E10" s="19"/>
    </row>
    <row r="11" spans="2:5" ht="11.25" customHeight="1" x14ac:dyDescent="0.3">
      <c r="B11" s="20"/>
      <c r="C11" s="93"/>
      <c r="D11" s="93"/>
      <c r="E11" s="19"/>
    </row>
    <row r="12" spans="2:5" ht="27" customHeight="1" x14ac:dyDescent="0.25">
      <c r="B12" s="20"/>
      <c r="C12" s="275" t="s">
        <v>64</v>
      </c>
      <c r="D12" s="275"/>
      <c r="E12" s="19"/>
    </row>
    <row r="13" spans="2:5" ht="42" customHeight="1" x14ac:dyDescent="0.25">
      <c r="B13" s="20"/>
      <c r="C13" s="277" t="s">
        <v>3176</v>
      </c>
      <c r="D13" s="277"/>
      <c r="E13" s="19"/>
    </row>
    <row r="14" spans="2:5" ht="38.25" customHeight="1" x14ac:dyDescent="0.25">
      <c r="B14" s="20"/>
      <c r="C14" s="277" t="s">
        <v>3177</v>
      </c>
      <c r="D14" s="277"/>
      <c r="E14" s="19"/>
    </row>
    <row r="15" spans="2:5" ht="38.25" customHeight="1" x14ac:dyDescent="0.25">
      <c r="B15" s="20"/>
      <c r="C15" s="277" t="s">
        <v>3178</v>
      </c>
      <c r="D15" s="277"/>
      <c r="E15" s="19"/>
    </row>
    <row r="16" spans="2:5" ht="5.25" customHeight="1" x14ac:dyDescent="0.3">
      <c r="B16" s="20"/>
      <c r="C16" s="93"/>
      <c r="D16" s="93"/>
      <c r="E16" s="19"/>
    </row>
    <row r="17" spans="2:5" ht="86.7" customHeight="1" x14ac:dyDescent="0.25">
      <c r="B17" s="20"/>
      <c r="C17" s="275" t="s">
        <v>2188</v>
      </c>
      <c r="D17" s="275"/>
      <c r="E17" s="19"/>
    </row>
    <row r="18" spans="2:5" ht="10.95" customHeight="1" x14ac:dyDescent="0.3">
      <c r="B18" s="20"/>
      <c r="C18" s="2"/>
      <c r="D18" s="35"/>
      <c r="E18" s="19"/>
    </row>
    <row r="19" spans="2:5" ht="88.8" customHeight="1" x14ac:dyDescent="0.3">
      <c r="B19" s="20"/>
      <c r="C19" s="265" t="s">
        <v>2664</v>
      </c>
      <c r="D19" s="276"/>
      <c r="E19" s="19"/>
    </row>
    <row r="20" spans="2:5" ht="10.5" customHeight="1" x14ac:dyDescent="0.3">
      <c r="B20" s="20"/>
      <c r="C20" s="2"/>
      <c r="D20" s="92"/>
      <c r="E20" s="19"/>
    </row>
    <row r="21" spans="2:5" ht="127.5" customHeight="1" x14ac:dyDescent="0.3">
      <c r="B21" s="20"/>
      <c r="C21" s="262" t="s">
        <v>3260</v>
      </c>
      <c r="D21" s="268"/>
      <c r="E21" s="19"/>
    </row>
    <row r="22" spans="2:5" ht="10.5" customHeight="1" x14ac:dyDescent="0.3">
      <c r="B22" s="20"/>
      <c r="C22" s="2"/>
      <c r="D22" s="92"/>
      <c r="E22" s="19"/>
    </row>
    <row r="23" spans="2:5" ht="73.5" customHeight="1" x14ac:dyDescent="0.3">
      <c r="B23" s="20"/>
      <c r="C23" s="265" t="s">
        <v>3263</v>
      </c>
      <c r="D23" s="276"/>
      <c r="E23" s="19"/>
    </row>
    <row r="24" spans="2:5" ht="7.5" customHeight="1" thickBot="1" x14ac:dyDescent="0.3">
      <c r="B24" s="21"/>
      <c r="C24" s="27"/>
      <c r="D24" s="27"/>
      <c r="E24" s="22"/>
    </row>
    <row r="25" spans="2:5" ht="14.4" thickTop="1" x14ac:dyDescent="0.25"/>
  </sheetData>
  <sheetProtection sheet="1" objects="1" scenarios="1"/>
  <mergeCells count="13">
    <mergeCell ref="C23:D23"/>
    <mergeCell ref="C10:D10"/>
    <mergeCell ref="C19:D19"/>
    <mergeCell ref="C13:D13"/>
    <mergeCell ref="C14:D14"/>
    <mergeCell ref="C15:D15"/>
    <mergeCell ref="C17:D17"/>
    <mergeCell ref="C21:D21"/>
    <mergeCell ref="C2:D2"/>
    <mergeCell ref="C4:D4"/>
    <mergeCell ref="C6:D6"/>
    <mergeCell ref="C8:D8"/>
    <mergeCell ref="C12:D12"/>
  </mergeCells>
  <phoneticPr fontId="6" type="noConversion"/>
  <pageMargins left="0.7" right="0.7" top="0.75" bottom="0.75" header="0.3" footer="0.3"/>
  <pageSetup paperSize="8"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outlinePr summaryBelow="0"/>
  </sheetPr>
  <dimension ref="A1:W278"/>
  <sheetViews>
    <sheetView showGridLines="0" zoomScale="90" zoomScaleNormal="90" workbookViewId="0">
      <pane xSplit="4" ySplit="2" topLeftCell="E3" activePane="bottomRight" state="frozen"/>
      <selection activeCell="J3" sqref="J3"/>
      <selection pane="topRight" activeCell="J3" sqref="J3"/>
      <selection pane="bottomLeft" activeCell="J3" sqref="J3"/>
      <selection pane="bottomRight" activeCell="A3" sqref="A3"/>
    </sheetView>
  </sheetViews>
  <sheetFormatPr defaultColWidth="9" defaultRowHeight="13.8" outlineLevelRow="2" x14ac:dyDescent="0.25"/>
  <cols>
    <col min="1" max="1" width="12.69921875" style="68" customWidth="1"/>
    <col min="2" max="2" width="14.19921875" style="68" customWidth="1"/>
    <col min="3" max="3" width="8.5" style="68" customWidth="1"/>
    <col min="4" max="4" width="43.19921875" style="68" customWidth="1"/>
    <col min="5" max="5" width="15" style="68" customWidth="1"/>
    <col min="6" max="6" width="16" style="68" customWidth="1"/>
    <col min="7" max="7" width="15.69921875" style="68" customWidth="1"/>
    <col min="8" max="8" width="12.5" style="70" bestFit="1" customWidth="1"/>
    <col min="9" max="9" width="10" style="70" customWidth="1"/>
    <col min="10" max="10" width="12.5" style="71" bestFit="1" customWidth="1"/>
    <col min="11" max="11" width="12.5" style="70" bestFit="1" customWidth="1"/>
    <col min="12" max="12" width="10" style="70" customWidth="1"/>
    <col min="13" max="13" width="12.5" style="71" bestFit="1" customWidth="1"/>
    <col min="14" max="14" width="12.5" style="70" bestFit="1" customWidth="1"/>
    <col min="15" max="15" width="10" style="70" customWidth="1"/>
    <col min="16" max="16" width="12.5" style="71" bestFit="1" customWidth="1"/>
    <col min="17" max="17" width="46.19921875" style="68" customWidth="1"/>
    <col min="18" max="18" width="12.5" style="158" customWidth="1"/>
    <col min="19" max="19" width="78.19921875" style="68" customWidth="1"/>
    <col min="20" max="20" width="10.19921875" style="178" customWidth="1"/>
    <col min="21" max="21" width="20.69921875" style="68" customWidth="1"/>
    <col min="22" max="23" width="8.69921875" customWidth="1"/>
    <col min="24" max="16384" width="9" style="68"/>
  </cols>
  <sheetData>
    <row r="1" spans="1:23" s="47" customFormat="1" ht="31.5"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c r="V1"/>
      <c r="W1"/>
    </row>
    <row r="2" spans="1:23" s="47" customFormat="1" ht="30" customHeight="1" collapsed="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c r="V2"/>
      <c r="W2"/>
    </row>
    <row r="3" spans="1:23" s="36" customFormat="1" ht="60" customHeight="1" collapsed="1" x14ac:dyDescent="0.25">
      <c r="A3" s="85" t="s">
        <v>177</v>
      </c>
      <c r="B3" s="85" t="s">
        <v>155</v>
      </c>
      <c r="C3" s="85" t="s">
        <v>721</v>
      </c>
      <c r="D3" s="85" t="s">
        <v>2184</v>
      </c>
      <c r="E3" s="86" t="s">
        <v>170</v>
      </c>
      <c r="F3" s="86" t="s">
        <v>632</v>
      </c>
      <c r="G3" s="86" t="s">
        <v>667</v>
      </c>
      <c r="H3" s="87">
        <v>500</v>
      </c>
      <c r="I3" s="88" t="s">
        <v>188</v>
      </c>
      <c r="J3" s="89">
        <f>IF(H3&gt;0,(H3*VLOOKUP(Lookups!$K$11,Lookups!$M$10:$P$43,4,0)/VLOOKUP(I3,Lookups!$M$10:$P$43,4,0)),"")</f>
        <v>780.07425953283575</v>
      </c>
      <c r="K3" s="87"/>
      <c r="L3" s="88"/>
      <c r="M3" s="89" t="str">
        <f>IF(K3&gt;0,(K3*VLOOKUP(Lookups!$K$11,Lookups!$M$10:$P$43,4,0)/VLOOKUP(L3,Lookups!$M$10:$P$43,4,0)),"")</f>
        <v/>
      </c>
      <c r="N3" s="87"/>
      <c r="O3" s="88"/>
      <c r="P3" s="89" t="str">
        <f>IF(N3&gt;0,(N3*VLOOKUP(Lookups!$K$11,Lookups!$M$10:$P$43,4,0)/VLOOKUP(O3,Lookups!$M$10:$P$43,4,0)),"")</f>
        <v/>
      </c>
      <c r="Q3" s="192" t="s">
        <v>687</v>
      </c>
      <c r="R3" s="88" t="s">
        <v>149</v>
      </c>
      <c r="S3" s="86" t="s">
        <v>1204</v>
      </c>
      <c r="T3" s="300"/>
      <c r="U3" s="301"/>
      <c r="V3"/>
      <c r="W3"/>
    </row>
    <row r="4" spans="1:23" s="36" customFormat="1" ht="60" hidden="1" customHeight="1" outlineLevel="1" x14ac:dyDescent="0.25">
      <c r="A4" s="42" t="s">
        <v>177</v>
      </c>
      <c r="B4" s="42" t="s">
        <v>155</v>
      </c>
      <c r="C4" s="42" t="s">
        <v>722</v>
      </c>
      <c r="D4" s="42" t="s">
        <v>723</v>
      </c>
      <c r="E4" s="12" t="s">
        <v>170</v>
      </c>
      <c r="F4" s="12" t="s">
        <v>632</v>
      </c>
      <c r="G4" s="12"/>
      <c r="H4" s="14">
        <v>35</v>
      </c>
      <c r="I4" s="15" t="s">
        <v>188</v>
      </c>
      <c r="J4" s="89">
        <f>IF(H4&gt;0,(H4*VLOOKUP(Lookups!$K$11,Lookups!$M$10:$P$43,4,0)/VLOOKUP(I4,Lookups!$M$10:$P$43,4,0)),"")</f>
        <v>54.605198167298511</v>
      </c>
      <c r="K4" s="14"/>
      <c r="L4" s="15"/>
      <c r="M4" s="89" t="str">
        <f>IF(K4&gt;0,(K4*VLOOKUP(Lookups!$K$11,Lookups!$M$10:$P$43,4,0)/VLOOKUP(L4,Lookups!$M$10:$P$43,4,0)),"")</f>
        <v/>
      </c>
      <c r="N4" s="14"/>
      <c r="O4" s="15"/>
      <c r="P4" s="89" t="str">
        <f>IF(N4&gt;0,(N4*VLOOKUP(Lookups!$K$11,Lookups!$M$10:$P$43,4,0)/VLOOKUP(O4,Lookups!$M$10:$P$43,4,0)),"")</f>
        <v/>
      </c>
      <c r="Q4" s="81" t="s">
        <v>687</v>
      </c>
      <c r="R4" s="15" t="s">
        <v>149</v>
      </c>
      <c r="S4" s="12" t="s">
        <v>1205</v>
      </c>
      <c r="T4" s="134"/>
      <c r="U4" s="4"/>
      <c r="V4"/>
      <c r="W4"/>
    </row>
    <row r="5" spans="1:23" s="36" customFormat="1" ht="60" hidden="1" customHeight="1" outlineLevel="1" x14ac:dyDescent="0.25">
      <c r="A5" s="42" t="s">
        <v>177</v>
      </c>
      <c r="B5" s="42" t="s">
        <v>155</v>
      </c>
      <c r="C5" s="42" t="s">
        <v>724</v>
      </c>
      <c r="D5" s="42" t="s">
        <v>725</v>
      </c>
      <c r="E5" s="12" t="s">
        <v>353</v>
      </c>
      <c r="F5" s="12" t="s">
        <v>210</v>
      </c>
      <c r="G5" s="12" t="s">
        <v>160</v>
      </c>
      <c r="H5" s="14">
        <v>66</v>
      </c>
      <c r="I5" s="15" t="s">
        <v>192</v>
      </c>
      <c r="J5" s="89">
        <f>IF(H5&gt;0,(H5*VLOOKUP(Lookups!$K$11,Lookups!$M$10:$P$43,4,0)/VLOOKUP(I5,Lookups!$M$10:$P$43,4,0)),"")</f>
        <v>91.985780986652586</v>
      </c>
      <c r="K5" s="14"/>
      <c r="L5" s="15"/>
      <c r="M5" s="89" t="str">
        <f>IF(K5&gt;0,(K5*VLOOKUP(Lookups!$K$11,Lookups!$M$10:$P$43,4,0)/VLOOKUP(L5,Lookups!$M$10:$P$43,4,0)),"")</f>
        <v/>
      </c>
      <c r="N5" s="14"/>
      <c r="O5" s="15"/>
      <c r="P5" s="89" t="str">
        <f>IF(N5&gt;0,(N5*VLOOKUP(Lookups!$K$11,Lookups!$M$10:$P$43,4,0)/VLOOKUP(O5,Lookups!$M$10:$P$43,4,0)),"")</f>
        <v/>
      </c>
      <c r="Q5" s="82" t="s">
        <v>726</v>
      </c>
      <c r="R5" s="15" t="s">
        <v>149</v>
      </c>
      <c r="S5" s="12" t="s">
        <v>3179</v>
      </c>
      <c r="T5" s="134"/>
      <c r="U5" s="4"/>
      <c r="V5"/>
      <c r="W5"/>
    </row>
    <row r="6" spans="1:23" s="36" customFormat="1" ht="60" hidden="1" customHeight="1" outlineLevel="1" x14ac:dyDescent="0.25">
      <c r="A6" s="42" t="s">
        <v>177</v>
      </c>
      <c r="B6" s="42" t="s">
        <v>155</v>
      </c>
      <c r="C6" s="42" t="s">
        <v>994</v>
      </c>
      <c r="D6" s="42" t="s">
        <v>727</v>
      </c>
      <c r="E6" s="12" t="s">
        <v>148</v>
      </c>
      <c r="F6" s="12" t="s">
        <v>147</v>
      </c>
      <c r="G6" s="12" t="s">
        <v>199</v>
      </c>
      <c r="H6" s="14">
        <v>230</v>
      </c>
      <c r="I6" s="15" t="s">
        <v>192</v>
      </c>
      <c r="J6" s="89">
        <f>IF(H6&gt;0,(H6*VLOOKUP(Lookups!$K$11,Lookups!$M$10:$P$43,4,0)/VLOOKUP(I6,Lookups!$M$10:$P$43,4,0)),"")</f>
        <v>320.55650949894084</v>
      </c>
      <c r="K6" s="14"/>
      <c r="L6" s="15"/>
      <c r="M6" s="89" t="str">
        <f>IF(K6&gt;0,(K6*VLOOKUP(Lookups!$K$11,Lookups!$M$10:$P$43,4,0)/VLOOKUP(L6,Lookups!$M$10:$P$43,4,0)),"")</f>
        <v/>
      </c>
      <c r="N6" s="14"/>
      <c r="O6" s="15"/>
      <c r="P6" s="89" t="str">
        <f>IF(N6&gt;0,(N6*VLOOKUP(Lookups!$K$11,Lookups!$M$10:$P$43,4,0)/VLOOKUP(O6,Lookups!$M$10:$P$43,4,0)),"")</f>
        <v/>
      </c>
      <c r="Q6" s="82" t="s">
        <v>726</v>
      </c>
      <c r="R6" s="15" t="s">
        <v>149</v>
      </c>
      <c r="S6" s="12" t="s">
        <v>728</v>
      </c>
      <c r="T6" s="134"/>
      <c r="U6" s="4"/>
      <c r="V6"/>
      <c r="W6"/>
    </row>
    <row r="7" spans="1:23" s="36" customFormat="1" ht="60" hidden="1" customHeight="1" outlineLevel="1" collapsed="1" x14ac:dyDescent="0.25">
      <c r="A7" s="42" t="s">
        <v>177</v>
      </c>
      <c r="B7" s="42" t="s">
        <v>155</v>
      </c>
      <c r="C7" s="42" t="s">
        <v>995</v>
      </c>
      <c r="D7" s="42" t="s">
        <v>729</v>
      </c>
      <c r="E7" s="12" t="s">
        <v>353</v>
      </c>
      <c r="F7" s="12" t="s">
        <v>210</v>
      </c>
      <c r="G7" s="12"/>
      <c r="H7" s="14">
        <v>105</v>
      </c>
      <c r="I7" s="15" t="s">
        <v>189</v>
      </c>
      <c r="J7" s="89">
        <f>IF(H7&gt;0,(H7*VLOOKUP(Lookups!$K$11,Lookups!$M$10:$P$43,4,0)/VLOOKUP(I7,Lookups!$M$10:$P$43,4,0)),"")</f>
        <v>159.75299517923557</v>
      </c>
      <c r="K7" s="14"/>
      <c r="L7" s="15"/>
      <c r="M7" s="89" t="str">
        <f>IF(K7&gt;0,(K7*VLOOKUP(Lookups!$K$11,Lookups!$M$10:$P$43,4,0)/VLOOKUP(L7,Lookups!$M$10:$P$43,4,0)),"")</f>
        <v/>
      </c>
      <c r="N7" s="14"/>
      <c r="O7" s="15"/>
      <c r="P7" s="89" t="str">
        <f>IF(N7&gt;0,(N7*VLOOKUP(Lookups!$K$11,Lookups!$M$10:$P$43,4,0)/VLOOKUP(O7,Lookups!$M$10:$P$43,4,0)),"")</f>
        <v/>
      </c>
      <c r="Q7" s="82" t="s">
        <v>730</v>
      </c>
      <c r="R7" s="15" t="s">
        <v>149</v>
      </c>
      <c r="S7" s="12" t="s">
        <v>1140</v>
      </c>
      <c r="T7" s="134"/>
      <c r="U7" s="4"/>
      <c r="V7"/>
      <c r="W7"/>
    </row>
    <row r="8" spans="1:23" s="78" customFormat="1" ht="60" hidden="1" customHeight="1" outlineLevel="2" x14ac:dyDescent="0.25">
      <c r="A8" s="34" t="s">
        <v>177</v>
      </c>
      <c r="B8" s="34" t="s">
        <v>155</v>
      </c>
      <c r="C8" s="34" t="s">
        <v>996</v>
      </c>
      <c r="D8" s="41" t="s">
        <v>731</v>
      </c>
      <c r="E8" s="34" t="s">
        <v>353</v>
      </c>
      <c r="F8" s="34" t="s">
        <v>210</v>
      </c>
      <c r="G8" s="34"/>
      <c r="H8" s="77">
        <v>197</v>
      </c>
      <c r="I8" s="15" t="s">
        <v>189</v>
      </c>
      <c r="J8" s="89">
        <f>IF(H8&gt;0,(H8*VLOOKUP(Lookups!$K$11,Lookups!$M$10:$P$43,4,0)/VLOOKUP(I8,Lookups!$M$10:$P$43,4,0)),"")</f>
        <v>299.72704809818481</v>
      </c>
      <c r="K8" s="77"/>
      <c r="L8" s="15"/>
      <c r="M8" s="89" t="str">
        <f>IF(K8&gt;0,(K8*VLOOKUP(Lookups!$K$11,Lookups!$M$10:$P$43,4,0)/VLOOKUP(L8,Lookups!$M$10:$P$43,4,0)),"")</f>
        <v/>
      </c>
      <c r="N8" s="77"/>
      <c r="O8" s="15"/>
      <c r="P8" s="89" t="str">
        <f>IF(N8&gt;0,(N8*VLOOKUP(Lookups!$K$11,Lookups!$M$10:$P$43,4,0)/VLOOKUP(O8,Lookups!$M$10:$P$43,4,0)),"")</f>
        <v/>
      </c>
      <c r="Q8" s="82" t="s">
        <v>730</v>
      </c>
      <c r="R8" s="15" t="s">
        <v>149</v>
      </c>
      <c r="S8" s="34" t="s">
        <v>869</v>
      </c>
      <c r="T8" s="180"/>
      <c r="U8" s="4"/>
      <c r="V8"/>
      <c r="W8"/>
    </row>
    <row r="9" spans="1:23" s="78" customFormat="1" ht="60" hidden="1" customHeight="1" outlineLevel="2" x14ac:dyDescent="0.25">
      <c r="A9" s="34" t="s">
        <v>177</v>
      </c>
      <c r="B9" s="34" t="s">
        <v>155</v>
      </c>
      <c r="C9" s="34" t="s">
        <v>997</v>
      </c>
      <c r="D9" s="41" t="s">
        <v>732</v>
      </c>
      <c r="E9" s="34" t="s">
        <v>353</v>
      </c>
      <c r="F9" s="34" t="s">
        <v>210</v>
      </c>
      <c r="G9" s="34"/>
      <c r="H9" s="77">
        <v>107</v>
      </c>
      <c r="I9" s="15" t="s">
        <v>189</v>
      </c>
      <c r="J9" s="89">
        <f>IF(H9&gt;0,(H9*VLOOKUP(Lookups!$K$11,Lookups!$M$10:$P$43,4,0)/VLOOKUP(I9,Lookups!$M$10:$P$43,4,0)),"")</f>
        <v>162.79590937312577</v>
      </c>
      <c r="K9" s="77"/>
      <c r="L9" s="15"/>
      <c r="M9" s="89" t="str">
        <f>IF(K9&gt;0,(K9*VLOOKUP(Lookups!$K$11,Lookups!$M$10:$P$43,4,0)/VLOOKUP(L9,Lookups!$M$10:$P$43,4,0)),"")</f>
        <v/>
      </c>
      <c r="N9" s="77"/>
      <c r="O9" s="15"/>
      <c r="P9" s="89" t="str">
        <f>IF(N9&gt;0,(N9*VLOOKUP(Lookups!$K$11,Lookups!$M$10:$P$43,4,0)/VLOOKUP(O9,Lookups!$M$10:$P$43,4,0)),"")</f>
        <v/>
      </c>
      <c r="Q9" s="82" t="s">
        <v>730</v>
      </c>
      <c r="R9" s="15" t="s">
        <v>149</v>
      </c>
      <c r="S9" s="34" t="s">
        <v>869</v>
      </c>
      <c r="T9" s="180"/>
      <c r="U9" s="4"/>
      <c r="V9"/>
      <c r="W9"/>
    </row>
    <row r="10" spans="1:23" s="78" customFormat="1" ht="60" hidden="1" customHeight="1" outlineLevel="2" x14ac:dyDescent="0.25">
      <c r="A10" s="34" t="s">
        <v>177</v>
      </c>
      <c r="B10" s="34" t="s">
        <v>155</v>
      </c>
      <c r="C10" s="34" t="s">
        <v>998</v>
      </c>
      <c r="D10" s="41" t="s">
        <v>733</v>
      </c>
      <c r="E10" s="34" t="s">
        <v>353</v>
      </c>
      <c r="F10" s="34" t="s">
        <v>210</v>
      </c>
      <c r="G10" s="34"/>
      <c r="H10" s="77">
        <v>104</v>
      </c>
      <c r="I10" s="15" t="s">
        <v>189</v>
      </c>
      <c r="J10" s="89">
        <f>IF(H10&gt;0,(H10*VLOOKUP(Lookups!$K$11,Lookups!$M$10:$P$43,4,0)/VLOOKUP(I10,Lookups!$M$10:$P$43,4,0)),"")</f>
        <v>158.23153808229046</v>
      </c>
      <c r="K10" s="77"/>
      <c r="L10" s="15"/>
      <c r="M10" s="89" t="str">
        <f>IF(K10&gt;0,(K10*VLOOKUP(Lookups!$K$11,Lookups!$M$10:$P$43,4,0)/VLOOKUP(L10,Lookups!$M$10:$P$43,4,0)),"")</f>
        <v/>
      </c>
      <c r="N10" s="77"/>
      <c r="O10" s="15"/>
      <c r="P10" s="89" t="str">
        <f>IF(N10&gt;0,(N10*VLOOKUP(Lookups!$K$11,Lookups!$M$10:$P$43,4,0)/VLOOKUP(O10,Lookups!$M$10:$P$43,4,0)),"")</f>
        <v/>
      </c>
      <c r="Q10" s="82" t="s">
        <v>730</v>
      </c>
      <c r="R10" s="15" t="s">
        <v>149</v>
      </c>
      <c r="S10" s="34" t="s">
        <v>869</v>
      </c>
      <c r="T10" s="180"/>
      <c r="U10" s="4"/>
      <c r="V10"/>
      <c r="W10"/>
    </row>
    <row r="11" spans="1:23" s="78" customFormat="1" ht="60" hidden="1" customHeight="1" outlineLevel="2" x14ac:dyDescent="0.25">
      <c r="A11" s="34" t="s">
        <v>177</v>
      </c>
      <c r="B11" s="34" t="s">
        <v>155</v>
      </c>
      <c r="C11" s="34" t="s">
        <v>999</v>
      </c>
      <c r="D11" s="41" t="s">
        <v>768</v>
      </c>
      <c r="E11" s="34" t="s">
        <v>353</v>
      </c>
      <c r="F11" s="34" t="s">
        <v>210</v>
      </c>
      <c r="G11" s="34"/>
      <c r="H11" s="77">
        <v>46</v>
      </c>
      <c r="I11" s="15" t="s">
        <v>189</v>
      </c>
      <c r="J11" s="89">
        <f>IF(H11&gt;0,(H11*VLOOKUP(Lookups!$K$11,Lookups!$M$10:$P$43,4,0)/VLOOKUP(I11,Lookups!$M$10:$P$43,4,0)),"")</f>
        <v>69.987026459474635</v>
      </c>
      <c r="K11" s="77"/>
      <c r="L11" s="15"/>
      <c r="M11" s="89" t="str">
        <f>IF(K11&gt;0,(K11*VLOOKUP(Lookups!$K$11,Lookups!$M$10:$P$43,4,0)/VLOOKUP(L11,Lookups!$M$10:$P$43,4,0)),"")</f>
        <v/>
      </c>
      <c r="N11" s="77"/>
      <c r="O11" s="15"/>
      <c r="P11" s="89" t="str">
        <f>IF(N11&gt;0,(N11*VLOOKUP(Lookups!$K$11,Lookups!$M$10:$P$43,4,0)/VLOOKUP(O11,Lookups!$M$10:$P$43,4,0)),"")</f>
        <v/>
      </c>
      <c r="Q11" s="82" t="s">
        <v>730</v>
      </c>
      <c r="R11" s="15" t="s">
        <v>149</v>
      </c>
      <c r="S11" s="34" t="s">
        <v>869</v>
      </c>
      <c r="T11" s="180"/>
      <c r="U11" s="4"/>
      <c r="V11"/>
      <c r="W11"/>
    </row>
    <row r="12" spans="1:23" s="36" customFormat="1" ht="60" customHeight="1" collapsed="1" x14ac:dyDescent="0.25">
      <c r="A12" s="38" t="s">
        <v>177</v>
      </c>
      <c r="B12" s="38" t="s">
        <v>178</v>
      </c>
      <c r="C12" s="38" t="s">
        <v>734</v>
      </c>
      <c r="D12" s="38" t="s">
        <v>984</v>
      </c>
      <c r="E12" s="12" t="s">
        <v>170</v>
      </c>
      <c r="F12" s="12" t="s">
        <v>243</v>
      </c>
      <c r="G12" s="12"/>
      <c r="H12" s="14">
        <v>2470</v>
      </c>
      <c r="I12" s="15" t="s">
        <v>194</v>
      </c>
      <c r="J12" s="89">
        <f>IF(H12&gt;0,(H12*VLOOKUP(Lookups!$K$11,Lookups!$M$10:$P$43,4,0)/VLOOKUP(I12,Lookups!$M$10:$P$43,4,0)),"")</f>
        <v>3252.5411398199676</v>
      </c>
      <c r="K12" s="14">
        <v>1473</v>
      </c>
      <c r="L12" s="15" t="s">
        <v>194</v>
      </c>
      <c r="M12" s="89">
        <f>IF(K12&gt;0,(K12*VLOOKUP(Lookups!$K$11,Lookups!$M$10:$P$43,4,0)/VLOOKUP(L12,Lookups!$M$10:$P$43,4,0)),"")</f>
        <v>1939.673319414904</v>
      </c>
      <c r="N12" s="14">
        <v>6795</v>
      </c>
      <c r="O12" s="15" t="s">
        <v>194</v>
      </c>
      <c r="P12" s="89">
        <f>IF(N12&gt;0,(N12*VLOOKUP(Lookups!$K$11,Lookups!$M$10:$P$43,4,0)/VLOOKUP(O12,Lookups!$M$10:$P$43,4,0)),"")</f>
        <v>8947.7801801929891</v>
      </c>
      <c r="Q12" s="81" t="s">
        <v>860</v>
      </c>
      <c r="R12" s="15" t="s">
        <v>149</v>
      </c>
      <c r="S12" s="12" t="s">
        <v>1254</v>
      </c>
      <c r="T12" s="134"/>
      <c r="U12" s="4"/>
      <c r="V12"/>
      <c r="W12"/>
    </row>
    <row r="13" spans="1:23" s="36" customFormat="1" ht="60" hidden="1" customHeight="1" outlineLevel="2" x14ac:dyDescent="0.25">
      <c r="A13" s="34" t="s">
        <v>177</v>
      </c>
      <c r="B13" s="34" t="s">
        <v>178</v>
      </c>
      <c r="C13" s="34" t="s">
        <v>735</v>
      </c>
      <c r="D13" s="41" t="s">
        <v>857</v>
      </c>
      <c r="E13" s="12" t="s">
        <v>170</v>
      </c>
      <c r="F13" s="12" t="s">
        <v>162</v>
      </c>
      <c r="G13" s="12" t="s">
        <v>207</v>
      </c>
      <c r="H13" s="14">
        <v>1171</v>
      </c>
      <c r="I13" s="15" t="s">
        <v>194</v>
      </c>
      <c r="J13" s="89">
        <f>IF(H13&gt;0,(H13*VLOOKUP(Lookups!$K$11,Lookups!$M$10:$P$43,4,0)/VLOOKUP(I13,Lookups!$M$10:$P$43,4,0)),"")</f>
        <v>1541.9942002952155</v>
      </c>
      <c r="K13" s="14"/>
      <c r="L13" s="15"/>
      <c r="M13" s="89" t="str">
        <f>IF(K13&gt;0,(K13*VLOOKUP(Lookups!$K$11,Lookups!$M$10:$P$43,4,0)/VLOOKUP(L13,Lookups!$M$10:$P$43,4,0)),"")</f>
        <v/>
      </c>
      <c r="N13" s="14"/>
      <c r="O13" s="15"/>
      <c r="P13" s="89" t="str">
        <f>IF(N13&gt;0,(N13*VLOOKUP(Lookups!$K$11,Lookups!$M$10:$P$43,4,0)/VLOOKUP(O13,Lookups!$M$10:$P$43,4,0)),"")</f>
        <v/>
      </c>
      <c r="Q13" s="81" t="s">
        <v>860</v>
      </c>
      <c r="R13" s="15" t="s">
        <v>149</v>
      </c>
      <c r="S13" s="12" t="s">
        <v>1255</v>
      </c>
      <c r="T13" s="134"/>
      <c r="U13" s="4"/>
      <c r="V13"/>
      <c r="W13"/>
    </row>
    <row r="14" spans="1:23" s="36" customFormat="1" ht="60" hidden="1" customHeight="1" outlineLevel="2" x14ac:dyDescent="0.25">
      <c r="A14" s="34" t="s">
        <v>177</v>
      </c>
      <c r="B14" s="34" t="s">
        <v>178</v>
      </c>
      <c r="C14" s="34" t="s">
        <v>736</v>
      </c>
      <c r="D14" s="41" t="s">
        <v>858</v>
      </c>
      <c r="E14" s="12" t="s">
        <v>170</v>
      </c>
      <c r="F14" s="12" t="s">
        <v>147</v>
      </c>
      <c r="G14" s="12"/>
      <c r="H14" s="14">
        <v>581</v>
      </c>
      <c r="I14" s="15" t="s">
        <v>194</v>
      </c>
      <c r="J14" s="89">
        <f>IF(H14&gt;0,(H14*VLOOKUP(Lookups!$K$11,Lookups!$M$10:$P$43,4,0)/VLOOKUP(I14,Lookups!$M$10:$P$43,4,0)),"")</f>
        <v>765.07141790906928</v>
      </c>
      <c r="K14" s="14"/>
      <c r="L14" s="15"/>
      <c r="M14" s="89" t="str">
        <f>IF(K14&gt;0,(K14*VLOOKUP(Lookups!$K$11,Lookups!$M$10:$P$43,4,0)/VLOOKUP(L14,Lookups!$M$10:$P$43,4,0)),"")</f>
        <v/>
      </c>
      <c r="N14" s="14"/>
      <c r="O14" s="15"/>
      <c r="P14" s="89" t="str">
        <f>IF(N14&gt;0,(N14*VLOOKUP(Lookups!$K$11,Lookups!$M$10:$P$43,4,0)/VLOOKUP(O14,Lookups!$M$10:$P$43,4,0)),"")</f>
        <v/>
      </c>
      <c r="Q14" s="81" t="s">
        <v>860</v>
      </c>
      <c r="R14" s="15" t="s">
        <v>149</v>
      </c>
      <c r="S14" s="12" t="s">
        <v>1256</v>
      </c>
      <c r="T14" s="134"/>
      <c r="U14" s="4"/>
      <c r="V14"/>
      <c r="W14"/>
    </row>
    <row r="15" spans="1:23" s="36" customFormat="1" ht="60" hidden="1" customHeight="1" outlineLevel="2" x14ac:dyDescent="0.25">
      <c r="A15" s="34" t="s">
        <v>177</v>
      </c>
      <c r="B15" s="34" t="s">
        <v>178</v>
      </c>
      <c r="C15" s="34" t="s">
        <v>737</v>
      </c>
      <c r="D15" s="41" t="s">
        <v>855</v>
      </c>
      <c r="E15" s="12" t="s">
        <v>170</v>
      </c>
      <c r="F15" s="12" t="s">
        <v>632</v>
      </c>
      <c r="G15" s="12"/>
      <c r="H15" s="14">
        <v>415</v>
      </c>
      <c r="I15" s="15" t="s">
        <v>194</v>
      </c>
      <c r="J15" s="89">
        <f>IF(H15&gt;0,(H15*VLOOKUP(Lookups!$K$11,Lookups!$M$10:$P$43,4,0)/VLOOKUP(I15,Lookups!$M$10:$P$43,4,0)),"")</f>
        <v>546.47958422076385</v>
      </c>
      <c r="K15" s="14"/>
      <c r="L15" s="15"/>
      <c r="M15" s="89" t="str">
        <f>IF(K15&gt;0,(K15*VLOOKUP(Lookups!$K$11,Lookups!$M$10:$P$43,4,0)/VLOOKUP(L15,Lookups!$M$10:$P$43,4,0)),"")</f>
        <v/>
      </c>
      <c r="N15" s="14"/>
      <c r="O15" s="15"/>
      <c r="P15" s="89" t="str">
        <f>IF(N15&gt;0,(N15*VLOOKUP(Lookups!$K$11,Lookups!$M$10:$P$43,4,0)/VLOOKUP(O15,Lookups!$M$10:$P$43,4,0)),"")</f>
        <v/>
      </c>
      <c r="Q15" s="81" t="s">
        <v>860</v>
      </c>
      <c r="R15" s="15" t="s">
        <v>149</v>
      </c>
      <c r="S15" s="12" t="s">
        <v>1257</v>
      </c>
      <c r="T15" s="134"/>
      <c r="U15" s="4"/>
      <c r="V15"/>
      <c r="W15"/>
    </row>
    <row r="16" spans="1:23" s="36" customFormat="1" ht="60" hidden="1" customHeight="1" outlineLevel="2" x14ac:dyDescent="0.25">
      <c r="A16" s="34" t="s">
        <v>177</v>
      </c>
      <c r="B16" s="34" t="s">
        <v>178</v>
      </c>
      <c r="C16" s="34" t="s">
        <v>738</v>
      </c>
      <c r="D16" s="41" t="s">
        <v>859</v>
      </c>
      <c r="E16" s="12" t="s">
        <v>170</v>
      </c>
      <c r="F16" s="12" t="s">
        <v>210</v>
      </c>
      <c r="G16" s="12" t="s">
        <v>150</v>
      </c>
      <c r="H16" s="14">
        <v>193</v>
      </c>
      <c r="I16" s="15" t="s">
        <v>194</v>
      </c>
      <c r="J16" s="89">
        <f>IF(H16&gt;0,(H16*VLOOKUP(Lookups!$K$11,Lookups!$M$10:$P$43,4,0)/VLOOKUP(I16,Lookups!$M$10:$P$43,4,0)),"")</f>
        <v>254.14592711953597</v>
      </c>
      <c r="K16" s="14"/>
      <c r="L16" s="15"/>
      <c r="M16" s="89" t="str">
        <f>IF(K16&gt;0,(K16*VLOOKUP(Lookups!$K$11,Lookups!$M$10:$P$43,4,0)/VLOOKUP(L16,Lookups!$M$10:$P$43,4,0)),"")</f>
        <v/>
      </c>
      <c r="N16" s="14"/>
      <c r="O16" s="15"/>
      <c r="P16" s="89" t="str">
        <f>IF(N16&gt;0,(N16*VLOOKUP(Lookups!$K$11,Lookups!$M$10:$P$43,4,0)/VLOOKUP(O16,Lookups!$M$10:$P$43,4,0)),"")</f>
        <v/>
      </c>
      <c r="Q16" s="81" t="s">
        <v>860</v>
      </c>
      <c r="R16" s="15" t="s">
        <v>149</v>
      </c>
      <c r="S16" s="12" t="s">
        <v>1258</v>
      </c>
      <c r="T16" s="134"/>
      <c r="U16" s="4"/>
      <c r="V16"/>
      <c r="W16"/>
    </row>
    <row r="17" spans="1:23" s="36" customFormat="1" ht="60" hidden="1" customHeight="1" outlineLevel="2" x14ac:dyDescent="0.25">
      <c r="A17" s="34" t="s">
        <v>177</v>
      </c>
      <c r="B17" s="34" t="s">
        <v>178</v>
      </c>
      <c r="C17" s="34" t="s">
        <v>854</v>
      </c>
      <c r="D17" s="41" t="s">
        <v>856</v>
      </c>
      <c r="E17" s="12" t="s">
        <v>170</v>
      </c>
      <c r="F17" s="12" t="s">
        <v>210</v>
      </c>
      <c r="G17" s="12" t="s">
        <v>160</v>
      </c>
      <c r="H17" s="14">
        <v>110</v>
      </c>
      <c r="I17" s="15" t="s">
        <v>194</v>
      </c>
      <c r="J17" s="89">
        <f>IF(H17&gt;0,(H17*VLOOKUP(Lookups!$K$11,Lookups!$M$10:$P$43,4,0)/VLOOKUP(I17,Lookups!$M$10:$P$43,4,0)),"")</f>
        <v>144.8500102753832</v>
      </c>
      <c r="K17" s="14"/>
      <c r="L17" s="15"/>
      <c r="M17" s="89" t="str">
        <f>IF(K17&gt;0,(K17*VLOOKUP(Lookups!$K$11,Lookups!$M$10:$P$43,4,0)/VLOOKUP(L17,Lookups!$M$10:$P$43,4,0)),"")</f>
        <v/>
      </c>
      <c r="N17" s="14"/>
      <c r="O17" s="15"/>
      <c r="P17" s="89" t="str">
        <f>IF(N17&gt;0,(N17*VLOOKUP(Lookups!$K$11,Lookups!$M$10:$P$43,4,0)/VLOOKUP(O17,Lookups!$M$10:$P$43,4,0)),"")</f>
        <v/>
      </c>
      <c r="Q17" s="81" t="s">
        <v>860</v>
      </c>
      <c r="R17" s="15" t="s">
        <v>149</v>
      </c>
      <c r="S17" s="12" t="s">
        <v>1259</v>
      </c>
      <c r="T17" s="134"/>
      <c r="U17" s="4"/>
      <c r="V17"/>
      <c r="W17"/>
    </row>
    <row r="18" spans="1:23" s="36" customFormat="1" ht="60" customHeight="1" collapsed="1" x14ac:dyDescent="0.25">
      <c r="A18" s="106" t="s">
        <v>177</v>
      </c>
      <c r="B18" s="38" t="s">
        <v>241</v>
      </c>
      <c r="C18" s="38" t="s">
        <v>739</v>
      </c>
      <c r="D18" s="38" t="s">
        <v>3</v>
      </c>
      <c r="E18" s="12" t="s">
        <v>2602</v>
      </c>
      <c r="F18" s="12" t="s">
        <v>147</v>
      </c>
      <c r="G18" s="12" t="s">
        <v>201</v>
      </c>
      <c r="H18" s="172">
        <v>48409</v>
      </c>
      <c r="I18" s="15" t="s">
        <v>1520</v>
      </c>
      <c r="J18" s="89">
        <f>IF(H18&gt;0,(H18*VLOOKUP(Lookups!$K$11,Lookups!$M$10:$P$43,4,0)/VLOOKUP(I18,Lookups!$M$10:$P$43,4,0)),"")</f>
        <v>49857.543578995079</v>
      </c>
      <c r="K18" s="14"/>
      <c r="L18" s="15"/>
      <c r="M18" s="89" t="str">
        <f>IF(K18&gt;0,(K18*VLOOKUP(Lookups!$K$11,Lookups!$M$10:$P$43,4,0)/VLOOKUP(L18,Lookups!$M$10:$P$43,4,0)),"")</f>
        <v/>
      </c>
      <c r="N18" s="14"/>
      <c r="O18" s="15"/>
      <c r="P18" s="89" t="str">
        <f>IF(N18&gt;0,(N18*VLOOKUP(Lookups!$K$11,Lookups!$M$10:$P$43,4,0)/VLOOKUP(O18,Lookups!$M$10:$P$43,4,0)),"")</f>
        <v/>
      </c>
      <c r="Q18" s="173" t="s">
        <v>2601</v>
      </c>
      <c r="R18" s="15" t="s">
        <v>154</v>
      </c>
      <c r="S18" s="107" t="s">
        <v>2194</v>
      </c>
      <c r="T18" s="134" t="s">
        <v>923</v>
      </c>
      <c r="U18" s="4" t="s">
        <v>2407</v>
      </c>
      <c r="V18"/>
      <c r="W18"/>
    </row>
    <row r="19" spans="1:23" s="36" customFormat="1" ht="60" hidden="1" customHeight="1" outlineLevel="2" x14ac:dyDescent="0.25">
      <c r="A19" s="107" t="s">
        <v>177</v>
      </c>
      <c r="B19" s="12" t="s">
        <v>241</v>
      </c>
      <c r="C19" s="12" t="s">
        <v>4</v>
      </c>
      <c r="D19" s="44" t="s">
        <v>2603</v>
      </c>
      <c r="E19" s="12" t="s">
        <v>2602</v>
      </c>
      <c r="F19" s="12" t="s">
        <v>147</v>
      </c>
      <c r="G19" s="12" t="s">
        <v>201</v>
      </c>
      <c r="H19" s="172">
        <v>50367</v>
      </c>
      <c r="I19" s="15" t="s">
        <v>1520</v>
      </c>
      <c r="J19" s="89">
        <f>IF(H19&gt;0,(H19*VLOOKUP(Lookups!$K$11,Lookups!$M$10:$P$43,4,0)/VLOOKUP(I19,Lookups!$M$10:$P$43,4,0)),"")</f>
        <v>51874.132856354088</v>
      </c>
      <c r="K19" s="14"/>
      <c r="L19" s="15"/>
      <c r="M19" s="89" t="str">
        <f>IF(K19&gt;0,(K19*VLOOKUP(Lookups!$K$11,Lookups!$M$10:$P$43,4,0)/VLOOKUP(L19,Lookups!$M$10:$P$43,4,0)),"")</f>
        <v/>
      </c>
      <c r="N19" s="14"/>
      <c r="O19" s="15"/>
      <c r="P19" s="89" t="str">
        <f>IF(N19&gt;0,(N19*VLOOKUP(Lookups!$K$11,Lookups!$M$10:$P$43,4,0)/VLOOKUP(O19,Lookups!$M$10:$P$43,4,0)),"")</f>
        <v/>
      </c>
      <c r="Q19" s="173" t="s">
        <v>2601</v>
      </c>
      <c r="R19" s="15" t="s">
        <v>154</v>
      </c>
      <c r="S19" s="107" t="s">
        <v>2606</v>
      </c>
      <c r="T19" s="134" t="s">
        <v>923</v>
      </c>
      <c r="U19" s="4" t="s">
        <v>2407</v>
      </c>
      <c r="V19"/>
      <c r="W19"/>
    </row>
    <row r="20" spans="1:23" s="36" customFormat="1" ht="60" hidden="1" customHeight="1" outlineLevel="2" x14ac:dyDescent="0.25">
      <c r="A20" s="107" t="s">
        <v>177</v>
      </c>
      <c r="B20" s="12" t="s">
        <v>241</v>
      </c>
      <c r="C20" s="12" t="s">
        <v>5</v>
      </c>
      <c r="D20" s="44" t="s">
        <v>2604</v>
      </c>
      <c r="E20" s="12" t="s">
        <v>2602</v>
      </c>
      <c r="F20" s="12" t="s">
        <v>147</v>
      </c>
      <c r="G20" s="12" t="s">
        <v>201</v>
      </c>
      <c r="H20" s="172">
        <v>41789</v>
      </c>
      <c r="I20" s="15" t="s">
        <v>1520</v>
      </c>
      <c r="J20" s="89">
        <f>IF(H20&gt;0,(H20*VLOOKUP(Lookups!$K$11,Lookups!$M$10:$P$43,4,0)/VLOOKUP(I20,Lookups!$M$10:$P$43,4,0)),"")</f>
        <v>43039.453172398215</v>
      </c>
      <c r="K20" s="14"/>
      <c r="L20" s="15"/>
      <c r="M20" s="89" t="str">
        <f>IF(K20&gt;0,(K20*VLOOKUP(Lookups!$K$11,Lookups!$M$10:$P$43,4,0)/VLOOKUP(L20,Lookups!$M$10:$P$43,4,0)),"")</f>
        <v/>
      </c>
      <c r="N20" s="14"/>
      <c r="O20" s="15"/>
      <c r="P20" s="89" t="str">
        <f>IF(N20&gt;0,(N20*VLOOKUP(Lookups!$K$11,Lookups!$M$10:$P$43,4,0)/VLOOKUP(O20,Lookups!$M$10:$P$43,4,0)),"")</f>
        <v/>
      </c>
      <c r="Q20" s="173" t="s">
        <v>2601</v>
      </c>
      <c r="R20" s="15" t="s">
        <v>154</v>
      </c>
      <c r="S20" s="107" t="s">
        <v>2607</v>
      </c>
      <c r="T20" s="134" t="s">
        <v>923</v>
      </c>
      <c r="U20" s="4" t="s">
        <v>2407</v>
      </c>
      <c r="V20"/>
      <c r="W20"/>
    </row>
    <row r="21" spans="1:23" s="36" customFormat="1" ht="60" hidden="1" customHeight="1" outlineLevel="2" x14ac:dyDescent="0.25">
      <c r="A21" s="107" t="s">
        <v>177</v>
      </c>
      <c r="B21" s="12" t="s">
        <v>241</v>
      </c>
      <c r="C21" s="12" t="s">
        <v>6</v>
      </c>
      <c r="D21" s="44" t="s">
        <v>7</v>
      </c>
      <c r="E21" s="12" t="s">
        <v>2602</v>
      </c>
      <c r="F21" s="12" t="s">
        <v>147</v>
      </c>
      <c r="G21" s="12" t="s">
        <v>201</v>
      </c>
      <c r="H21" s="172">
        <v>73085</v>
      </c>
      <c r="I21" s="15" t="s">
        <v>1520</v>
      </c>
      <c r="J21" s="89">
        <f>IF(H21&gt;0,(H21*VLOOKUP(Lookups!$K$11,Lookups!$M$10:$P$43,4,0)/VLOOKUP(I21,Lookups!$M$10:$P$43,4,0)),"")</f>
        <v>75271.924073433765</v>
      </c>
      <c r="K21" s="14"/>
      <c r="L21" s="15"/>
      <c r="M21" s="89" t="str">
        <f>IF(K21&gt;0,(K21*VLOOKUP(Lookups!$K$11,Lookups!$M$10:$P$43,4,0)/VLOOKUP(L21,Lookups!$M$10:$P$43,4,0)),"")</f>
        <v/>
      </c>
      <c r="N21" s="14"/>
      <c r="O21" s="15"/>
      <c r="P21" s="89" t="str">
        <f>IF(N21&gt;0,(N21*VLOOKUP(Lookups!$K$11,Lookups!$M$10:$P$43,4,0)/VLOOKUP(O21,Lookups!$M$10:$P$43,4,0)),"")</f>
        <v/>
      </c>
      <c r="Q21" s="173" t="s">
        <v>2601</v>
      </c>
      <c r="R21" s="15" t="s">
        <v>154</v>
      </c>
      <c r="S21" s="107" t="s">
        <v>2195</v>
      </c>
      <c r="T21" s="134" t="s">
        <v>923</v>
      </c>
      <c r="U21" s="4" t="s">
        <v>2407</v>
      </c>
      <c r="V21"/>
      <c r="W21"/>
    </row>
    <row r="22" spans="1:23" s="36" customFormat="1" ht="60" hidden="1" customHeight="1" outlineLevel="2" x14ac:dyDescent="0.25">
      <c r="A22" s="107" t="s">
        <v>177</v>
      </c>
      <c r="B22" s="12" t="s">
        <v>241</v>
      </c>
      <c r="C22" s="12" t="s">
        <v>8</v>
      </c>
      <c r="D22" s="44" t="s">
        <v>9</v>
      </c>
      <c r="E22" s="12" t="s">
        <v>2602</v>
      </c>
      <c r="F22" s="12" t="s">
        <v>147</v>
      </c>
      <c r="G22" s="12" t="s">
        <v>201</v>
      </c>
      <c r="H22" s="172">
        <v>42648</v>
      </c>
      <c r="I22" s="15" t="s">
        <v>1520</v>
      </c>
      <c r="J22" s="89">
        <f>IF(H22&gt;0,(H22*VLOOKUP(Lookups!$K$11,Lookups!$M$10:$P$43,4,0)/VLOOKUP(I22,Lookups!$M$10:$P$43,4,0)),"")</f>
        <v>43924.157048420377</v>
      </c>
      <c r="K22" s="14"/>
      <c r="L22" s="15"/>
      <c r="M22" s="89" t="str">
        <f>IF(K22&gt;0,(K22*VLOOKUP(Lookups!$K$11,Lookups!$M$10:$P$43,4,0)/VLOOKUP(L22,Lookups!$M$10:$P$43,4,0)),"")</f>
        <v/>
      </c>
      <c r="N22" s="14"/>
      <c r="O22" s="15"/>
      <c r="P22" s="89" t="str">
        <f>IF(N22&gt;0,(N22*VLOOKUP(Lookups!$K$11,Lookups!$M$10:$P$43,4,0)/VLOOKUP(O22,Lookups!$M$10:$P$43,4,0)),"")</f>
        <v/>
      </c>
      <c r="Q22" s="173" t="s">
        <v>2601</v>
      </c>
      <c r="R22" s="15" t="s">
        <v>154</v>
      </c>
      <c r="S22" s="107" t="s">
        <v>2608</v>
      </c>
      <c r="T22" s="134" t="s">
        <v>923</v>
      </c>
      <c r="U22" s="4" t="s">
        <v>2407</v>
      </c>
      <c r="V22"/>
      <c r="W22"/>
    </row>
    <row r="23" spans="1:23" s="36" customFormat="1" ht="60" hidden="1" customHeight="1" outlineLevel="2" x14ac:dyDescent="0.25">
      <c r="A23" s="107" t="s">
        <v>177</v>
      </c>
      <c r="B23" s="12" t="s">
        <v>241</v>
      </c>
      <c r="C23" s="12" t="s">
        <v>10</v>
      </c>
      <c r="D23" s="44" t="s">
        <v>2605</v>
      </c>
      <c r="E23" s="12" t="s">
        <v>2602</v>
      </c>
      <c r="F23" s="12" t="s">
        <v>147</v>
      </c>
      <c r="G23" s="12" t="s">
        <v>201</v>
      </c>
      <c r="H23" s="172">
        <v>47260</v>
      </c>
      <c r="I23" s="15" t="s">
        <v>1520</v>
      </c>
      <c r="J23" s="89">
        <f>IF(H23&gt;0,(H23*VLOOKUP(Lookups!$K$11,Lookups!$M$10:$P$43,4,0)/VLOOKUP(I23,Lookups!$M$10:$P$43,4,0)),"")</f>
        <v>48674.162026550999</v>
      </c>
      <c r="K23" s="14"/>
      <c r="L23" s="15"/>
      <c r="M23" s="89" t="str">
        <f>IF(K23&gt;0,(K23*VLOOKUP(Lookups!$K$11,Lookups!$M$10:$P$43,4,0)/VLOOKUP(L23,Lookups!$M$10:$P$43,4,0)),"")</f>
        <v/>
      </c>
      <c r="N23" s="14"/>
      <c r="O23" s="15"/>
      <c r="P23" s="89" t="str">
        <f>IF(N23&gt;0,(N23*VLOOKUP(Lookups!$K$11,Lookups!$M$10:$P$43,4,0)/VLOOKUP(O23,Lookups!$M$10:$P$43,4,0)),"")</f>
        <v/>
      </c>
      <c r="Q23" s="173" t="s">
        <v>2601</v>
      </c>
      <c r="R23" s="15" t="s">
        <v>154</v>
      </c>
      <c r="S23" s="107" t="s">
        <v>2609</v>
      </c>
      <c r="T23" s="134" t="s">
        <v>923</v>
      </c>
      <c r="U23" s="4" t="s">
        <v>2407</v>
      </c>
      <c r="V23"/>
      <c r="W23"/>
    </row>
    <row r="24" spans="1:23" s="36" customFormat="1" ht="60" hidden="1" customHeight="1" outlineLevel="2" x14ac:dyDescent="0.25">
      <c r="A24" s="107" t="s">
        <v>177</v>
      </c>
      <c r="B24" s="12" t="s">
        <v>241</v>
      </c>
      <c r="C24" s="12" t="s">
        <v>11</v>
      </c>
      <c r="D24" s="44" t="s">
        <v>12</v>
      </c>
      <c r="E24" s="12" t="s">
        <v>2602</v>
      </c>
      <c r="F24" s="12" t="s">
        <v>147</v>
      </c>
      <c r="G24" s="12" t="s">
        <v>201</v>
      </c>
      <c r="H24" s="172">
        <v>74236</v>
      </c>
      <c r="I24" s="15" t="s">
        <v>1520</v>
      </c>
      <c r="J24" s="89">
        <f>IF(H24&gt;0,(H24*VLOOKUP(Lookups!$K$11,Lookups!$M$10:$P$43,4,0)/VLOOKUP(I24,Lookups!$M$10:$P$43,4,0)),"")</f>
        <v>76457.365471922138</v>
      </c>
      <c r="K24" s="14"/>
      <c r="L24" s="15"/>
      <c r="M24" s="89" t="str">
        <f>IF(K24&gt;0,(K24*VLOOKUP(Lookups!$K$11,Lookups!$M$10:$P$43,4,0)/VLOOKUP(L24,Lookups!$M$10:$P$43,4,0)),"")</f>
        <v/>
      </c>
      <c r="N24" s="14"/>
      <c r="O24" s="15"/>
      <c r="P24" s="89" t="str">
        <f>IF(N24&gt;0,(N24*VLOOKUP(Lookups!$K$11,Lookups!$M$10:$P$43,4,0)/VLOOKUP(O24,Lookups!$M$10:$P$43,4,0)),"")</f>
        <v/>
      </c>
      <c r="Q24" s="173" t="s">
        <v>2601</v>
      </c>
      <c r="R24" s="15" t="s">
        <v>154</v>
      </c>
      <c r="S24" s="107" t="s">
        <v>2196</v>
      </c>
      <c r="T24" s="134" t="s">
        <v>923</v>
      </c>
      <c r="U24" s="4" t="s">
        <v>2407</v>
      </c>
      <c r="V24"/>
      <c r="W24"/>
    </row>
    <row r="25" spans="1:23" s="36" customFormat="1" ht="60" hidden="1" customHeight="1" outlineLevel="2" x14ac:dyDescent="0.25">
      <c r="A25" s="107" t="s">
        <v>177</v>
      </c>
      <c r="B25" s="12" t="s">
        <v>241</v>
      </c>
      <c r="C25" s="12" t="s">
        <v>13</v>
      </c>
      <c r="D25" s="44" t="s">
        <v>14</v>
      </c>
      <c r="E25" s="12" t="s">
        <v>2602</v>
      </c>
      <c r="F25" s="12" t="s">
        <v>147</v>
      </c>
      <c r="G25" s="12" t="s">
        <v>201</v>
      </c>
      <c r="H25" s="172">
        <v>70909</v>
      </c>
      <c r="I25" s="15" t="s">
        <v>1520</v>
      </c>
      <c r="J25" s="89">
        <f>IF(H25&gt;0,(H25*VLOOKUP(Lookups!$K$11,Lookups!$M$10:$P$43,4,0)/VLOOKUP(I25,Lookups!$M$10:$P$43,4,0)),"")</f>
        <v>73030.811577247237</v>
      </c>
      <c r="K25" s="14"/>
      <c r="L25" s="15"/>
      <c r="M25" s="89" t="str">
        <f>IF(K25&gt;0,(K25*VLOOKUP(Lookups!$K$11,Lookups!$M$10:$P$43,4,0)/VLOOKUP(L25,Lookups!$M$10:$P$43,4,0)),"")</f>
        <v/>
      </c>
      <c r="N25" s="14"/>
      <c r="O25" s="15"/>
      <c r="P25" s="89" t="str">
        <f>IF(N25&gt;0,(N25*VLOOKUP(Lookups!$K$11,Lookups!$M$10:$P$43,4,0)/VLOOKUP(O25,Lookups!$M$10:$P$43,4,0)),"")</f>
        <v/>
      </c>
      <c r="Q25" s="173" t="s">
        <v>2601</v>
      </c>
      <c r="R25" s="15" t="s">
        <v>154</v>
      </c>
      <c r="S25" s="107" t="s">
        <v>2197</v>
      </c>
      <c r="T25" s="134" t="s">
        <v>923</v>
      </c>
      <c r="U25" s="4" t="s">
        <v>2407</v>
      </c>
      <c r="V25"/>
      <c r="W25"/>
    </row>
    <row r="26" spans="1:23" s="36" customFormat="1" ht="60" hidden="1" customHeight="1" outlineLevel="2" x14ac:dyDescent="0.25">
      <c r="A26" s="107" t="s">
        <v>177</v>
      </c>
      <c r="B26" s="12" t="s">
        <v>241</v>
      </c>
      <c r="C26" s="12" t="s">
        <v>15</v>
      </c>
      <c r="D26" s="44" t="s">
        <v>16</v>
      </c>
      <c r="E26" s="12" t="s">
        <v>2602</v>
      </c>
      <c r="F26" s="12" t="s">
        <v>147</v>
      </c>
      <c r="G26" s="12" t="s">
        <v>201</v>
      </c>
      <c r="H26" s="172">
        <v>71093</v>
      </c>
      <c r="I26" s="15" t="s">
        <v>1520</v>
      </c>
      <c r="J26" s="89">
        <f>IF(H26&gt;0,(H26*VLOOKUP(Lookups!$K$11,Lookups!$M$10:$P$43,4,0)/VLOOKUP(I26,Lookups!$M$10:$P$43,4,0)),"")</f>
        <v>73220.317413321842</v>
      </c>
      <c r="K26" s="14"/>
      <c r="L26" s="15"/>
      <c r="M26" s="89" t="str">
        <f>IF(K26&gt;0,(K26*VLOOKUP(Lookups!$K$11,Lookups!$M$10:$P$43,4,0)/VLOOKUP(L26,Lookups!$M$10:$P$43,4,0)),"")</f>
        <v/>
      </c>
      <c r="N26" s="14"/>
      <c r="O26" s="15"/>
      <c r="P26" s="89" t="str">
        <f>IF(N26&gt;0,(N26*VLOOKUP(Lookups!$K$11,Lookups!$M$10:$P$43,4,0)/VLOOKUP(O26,Lookups!$M$10:$P$43,4,0)),"")</f>
        <v/>
      </c>
      <c r="Q26" s="173" t="s">
        <v>2601</v>
      </c>
      <c r="R26" s="15" t="s">
        <v>154</v>
      </c>
      <c r="S26" s="107" t="s">
        <v>2198</v>
      </c>
      <c r="T26" s="134" t="s">
        <v>923</v>
      </c>
      <c r="U26" s="4" t="s">
        <v>2407</v>
      </c>
      <c r="V26"/>
      <c r="W26"/>
    </row>
    <row r="27" spans="1:23" s="36" customFormat="1" ht="60" hidden="1" customHeight="1" outlineLevel="1" x14ac:dyDescent="0.25">
      <c r="A27" s="42" t="s">
        <v>177</v>
      </c>
      <c r="B27" s="42" t="s">
        <v>241</v>
      </c>
      <c r="C27" s="42" t="s">
        <v>383</v>
      </c>
      <c r="D27" s="42" t="s">
        <v>65</v>
      </c>
      <c r="E27" s="12" t="s">
        <v>165</v>
      </c>
      <c r="F27" s="12" t="s">
        <v>147</v>
      </c>
      <c r="G27" s="12" t="s">
        <v>201</v>
      </c>
      <c r="H27" s="172">
        <v>2367</v>
      </c>
      <c r="I27" s="15" t="s">
        <v>194</v>
      </c>
      <c r="J27" s="89">
        <f>IF(H27&gt;0,(H27*VLOOKUP(Lookups!$K$11,Lookups!$M$10:$P$43,4,0)/VLOOKUP(I27,Lookups!$M$10:$P$43,4,0)),"")</f>
        <v>3116.9088574712</v>
      </c>
      <c r="K27" s="14"/>
      <c r="L27" s="15"/>
      <c r="M27" s="89" t="str">
        <f>IF(K27&gt;0,(K27*VLOOKUP(Lookups!$K$11,Lookups!$M$10:$P$43,4,0)/VLOOKUP(L27,Lookups!$M$10:$P$43,4,0)),"")</f>
        <v/>
      </c>
      <c r="N27" s="14"/>
      <c r="O27" s="15"/>
      <c r="P27" s="89" t="str">
        <f>IF(N27&gt;0,(N27*VLOOKUP(Lookups!$K$11,Lookups!$M$10:$P$43,4,0)/VLOOKUP(O27,Lookups!$M$10:$P$43,4,0)),"")</f>
        <v/>
      </c>
      <c r="Q27" s="173" t="s">
        <v>391</v>
      </c>
      <c r="R27" s="15" t="s">
        <v>149</v>
      </c>
      <c r="S27" s="12"/>
      <c r="T27" s="134"/>
      <c r="U27" s="4"/>
      <c r="V27"/>
      <c r="W27"/>
    </row>
    <row r="28" spans="1:23" s="36" customFormat="1" ht="60" hidden="1" customHeight="1" outlineLevel="1" x14ac:dyDescent="0.25">
      <c r="A28" s="42" t="s">
        <v>177</v>
      </c>
      <c r="B28" s="42" t="s">
        <v>241</v>
      </c>
      <c r="C28" s="42" t="s">
        <v>385</v>
      </c>
      <c r="D28" s="42" t="s">
        <v>845</v>
      </c>
      <c r="E28" s="12" t="s">
        <v>167</v>
      </c>
      <c r="F28" s="12" t="s">
        <v>147</v>
      </c>
      <c r="G28" s="12" t="s">
        <v>201</v>
      </c>
      <c r="H28" s="172">
        <v>357</v>
      </c>
      <c r="I28" s="15" t="s">
        <v>194</v>
      </c>
      <c r="J28" s="89">
        <f>IF(H28&gt;0,(H28*VLOOKUP(Lookups!$K$11,Lookups!$M$10:$P$43,4,0)/VLOOKUP(I28,Lookups!$M$10:$P$43,4,0)),"")</f>
        <v>470.10412425737997</v>
      </c>
      <c r="K28" s="14"/>
      <c r="L28" s="15"/>
      <c r="M28" s="89" t="str">
        <f>IF(K28&gt;0,(K28*VLOOKUP(Lookups!$K$11,Lookups!$M$10:$P$43,4,0)/VLOOKUP(L28,Lookups!$M$10:$P$43,4,0)),"")</f>
        <v/>
      </c>
      <c r="N28" s="14"/>
      <c r="O28" s="15"/>
      <c r="P28" s="89" t="str">
        <f>IF(N28&gt;0,(N28*VLOOKUP(Lookups!$K$11,Lookups!$M$10:$P$43,4,0)/VLOOKUP(O28,Lookups!$M$10:$P$43,4,0)),"")</f>
        <v/>
      </c>
      <c r="Q28" s="173" t="s">
        <v>391</v>
      </c>
      <c r="R28" s="15" t="s">
        <v>149</v>
      </c>
      <c r="S28" s="12" t="s">
        <v>767</v>
      </c>
      <c r="T28" s="134"/>
      <c r="U28" s="4"/>
      <c r="V28"/>
      <c r="W28"/>
    </row>
    <row r="29" spans="1:23" s="36" customFormat="1" ht="60" customHeight="1" collapsed="1" x14ac:dyDescent="0.25">
      <c r="A29" s="38" t="s">
        <v>177</v>
      </c>
      <c r="B29" s="38" t="s">
        <v>171</v>
      </c>
      <c r="C29" s="38" t="s">
        <v>386</v>
      </c>
      <c r="D29" s="38" t="s">
        <v>1203</v>
      </c>
      <c r="E29" s="12" t="s">
        <v>167</v>
      </c>
      <c r="F29" s="12" t="s">
        <v>147</v>
      </c>
      <c r="G29" s="12"/>
      <c r="H29" s="172">
        <v>3152</v>
      </c>
      <c r="I29" s="15" t="s">
        <v>194</v>
      </c>
      <c r="J29" s="89">
        <f>IF(H29&gt;0,(H29*VLOOKUP(Lookups!$K$11,Lookups!$M$10:$P$43,4,0)/VLOOKUP(I29,Lookups!$M$10:$P$43,4,0)),"")</f>
        <v>4150.6112035273436</v>
      </c>
      <c r="K29" s="14"/>
      <c r="L29" s="15"/>
      <c r="M29" s="89" t="str">
        <f>IF(K29&gt;0,(K29*VLOOKUP(Lookups!$K$11,Lookups!$M$10:$P$43,4,0)/VLOOKUP(L29,Lookups!$M$10:$P$43,4,0)),"")</f>
        <v/>
      </c>
      <c r="N29" s="14"/>
      <c r="O29" s="15"/>
      <c r="P29" s="89" t="str">
        <f>IF(N29&gt;0,(N29*VLOOKUP(Lookups!$K$11,Lookups!$M$10:$P$43,4,0)/VLOOKUP(O29,Lookups!$M$10:$P$43,4,0)),"")</f>
        <v/>
      </c>
      <c r="Q29" s="173" t="s">
        <v>384</v>
      </c>
      <c r="R29" s="15" t="s">
        <v>149</v>
      </c>
      <c r="S29" s="12" t="s">
        <v>20</v>
      </c>
      <c r="T29" s="134"/>
      <c r="U29" s="4"/>
      <c r="V29"/>
      <c r="W29"/>
    </row>
    <row r="30" spans="1:23" s="36" customFormat="1" ht="60" hidden="1" customHeight="1" outlineLevel="1" x14ac:dyDescent="0.25">
      <c r="A30" s="42" t="s">
        <v>177</v>
      </c>
      <c r="B30" s="42" t="s">
        <v>171</v>
      </c>
      <c r="C30" s="42" t="s">
        <v>387</v>
      </c>
      <c r="D30" s="42" t="s">
        <v>1233</v>
      </c>
      <c r="E30" s="12" t="s">
        <v>626</v>
      </c>
      <c r="F30" s="12" t="s">
        <v>147</v>
      </c>
      <c r="G30" s="12" t="s">
        <v>202</v>
      </c>
      <c r="H30" s="172">
        <v>93742</v>
      </c>
      <c r="I30" s="15" t="s">
        <v>1520</v>
      </c>
      <c r="J30" s="89">
        <f>IF(H30&gt;0,(H30*VLOOKUP(Lookups!$K$11,Lookups!$M$10:$P$43,4,0)/VLOOKUP(I30,Lookups!$M$10:$P$43,4,0)),"")</f>
        <v>96547.043941873533</v>
      </c>
      <c r="K30" s="14"/>
      <c r="L30" s="15"/>
      <c r="M30" s="89" t="str">
        <f>IF(K30&gt;0,(K30*VLOOKUP(Lookups!$K$11,Lookups!$M$10:$P$43,4,0)/VLOOKUP(L30,Lookups!$M$10:$P$43,4,0)),"")</f>
        <v/>
      </c>
      <c r="N30" s="14"/>
      <c r="O30" s="15"/>
      <c r="P30" s="89" t="str">
        <f>IF(N30&gt;0,(N30*VLOOKUP(Lookups!$K$11,Lookups!$M$10:$P$43,4,0)/VLOOKUP(O30,Lookups!$M$10:$P$43,4,0)),"")</f>
        <v/>
      </c>
      <c r="Q30" s="173" t="s">
        <v>2601</v>
      </c>
      <c r="R30" s="15" t="s">
        <v>154</v>
      </c>
      <c r="S30" s="107" t="s">
        <v>2200</v>
      </c>
      <c r="T30" s="134" t="s">
        <v>923</v>
      </c>
      <c r="U30" s="4" t="s">
        <v>2407</v>
      </c>
      <c r="V30"/>
      <c r="W30"/>
    </row>
    <row r="31" spans="1:23" s="36" customFormat="1" ht="60" hidden="1" customHeight="1" outlineLevel="1" x14ac:dyDescent="0.25">
      <c r="A31" s="42" t="s">
        <v>177</v>
      </c>
      <c r="B31" s="42" t="s">
        <v>171</v>
      </c>
      <c r="C31" s="42" t="s">
        <v>388</v>
      </c>
      <c r="D31" s="42" t="s">
        <v>17</v>
      </c>
      <c r="E31" s="12" t="s">
        <v>626</v>
      </c>
      <c r="F31" s="12" t="s">
        <v>147</v>
      </c>
      <c r="G31" s="12" t="s">
        <v>202</v>
      </c>
      <c r="H31" s="172">
        <v>195527</v>
      </c>
      <c r="I31" s="15" t="s">
        <v>1520</v>
      </c>
      <c r="J31" s="89">
        <f>IF(H31&gt;0,(H31*VLOOKUP(Lookups!$K$11,Lookups!$M$10:$P$43,4,0)/VLOOKUP(I31,Lookups!$M$10:$P$43,4,0)),"")</f>
        <v>201377.75875085563</v>
      </c>
      <c r="K31" s="14"/>
      <c r="L31" s="15"/>
      <c r="M31" s="89" t="str">
        <f>IF(K31&gt;0,(K31*VLOOKUP(Lookups!$K$11,Lookups!$M$10:$P$43,4,0)/VLOOKUP(L31,Lookups!$M$10:$P$43,4,0)),"")</f>
        <v/>
      </c>
      <c r="N31" s="14"/>
      <c r="O31" s="15"/>
      <c r="P31" s="89" t="str">
        <f>IF(N31&gt;0,(N31*VLOOKUP(Lookups!$K$11,Lookups!$M$10:$P$43,4,0)/VLOOKUP(O31,Lookups!$M$10:$P$43,4,0)),"")</f>
        <v/>
      </c>
      <c r="Q31" s="173" t="s">
        <v>2601</v>
      </c>
      <c r="R31" s="15" t="s">
        <v>154</v>
      </c>
      <c r="S31" s="107" t="s">
        <v>2199</v>
      </c>
      <c r="T31" s="134" t="s">
        <v>923</v>
      </c>
      <c r="U31" s="4" t="s">
        <v>2407</v>
      </c>
      <c r="V31"/>
      <c r="W31"/>
    </row>
    <row r="32" spans="1:23" s="36" customFormat="1" ht="60" hidden="1" customHeight="1" outlineLevel="1" x14ac:dyDescent="0.25">
      <c r="A32" s="42" t="s">
        <v>177</v>
      </c>
      <c r="B32" s="42" t="s">
        <v>171</v>
      </c>
      <c r="C32" s="42" t="s">
        <v>1187</v>
      </c>
      <c r="D32" s="42" t="s">
        <v>1188</v>
      </c>
      <c r="E32" s="12" t="s">
        <v>161</v>
      </c>
      <c r="F32" s="12" t="s">
        <v>210</v>
      </c>
      <c r="G32" s="12" t="s">
        <v>150</v>
      </c>
      <c r="H32" s="14">
        <v>29</v>
      </c>
      <c r="I32" s="15" t="s">
        <v>194</v>
      </c>
      <c r="J32" s="89">
        <f>IF(H32&gt;0,(H32*VLOOKUP(Lookups!$K$11,Lookups!$M$10:$P$43,4,0)/VLOOKUP(I32,Lookups!$M$10:$P$43,4,0)),"")</f>
        <v>38.18772998169193</v>
      </c>
      <c r="K32" s="14"/>
      <c r="L32" s="15"/>
      <c r="M32" s="89" t="str">
        <f>IF(K32&gt;0,(K32*VLOOKUP(Lookups!$K$11,Lookups!$M$10:$P$43,4,0)/VLOOKUP(L32,Lookups!$M$10:$P$43,4,0)),"")</f>
        <v/>
      </c>
      <c r="N32" s="14"/>
      <c r="O32" s="15"/>
      <c r="P32" s="89" t="str">
        <f>IF(N32&gt;0,(N32*VLOOKUP(Lookups!$K$11,Lookups!$M$10:$P$43,4,0)/VLOOKUP(O32,Lookups!$M$10:$P$43,4,0)),"")</f>
        <v/>
      </c>
      <c r="Q32" s="173" t="s">
        <v>1190</v>
      </c>
      <c r="R32" s="15" t="s">
        <v>149</v>
      </c>
      <c r="S32" s="12" t="s">
        <v>1189</v>
      </c>
      <c r="T32" s="134"/>
      <c r="U32" s="4"/>
      <c r="V32"/>
      <c r="W32"/>
    </row>
    <row r="33" spans="1:23" s="36" customFormat="1" ht="60" customHeight="1" collapsed="1" x14ac:dyDescent="0.25">
      <c r="A33" s="38" t="s">
        <v>177</v>
      </c>
      <c r="B33" s="38" t="s">
        <v>224</v>
      </c>
      <c r="C33" s="38" t="s">
        <v>389</v>
      </c>
      <c r="D33" s="38" t="s">
        <v>390</v>
      </c>
      <c r="E33" s="12" t="s">
        <v>158</v>
      </c>
      <c r="F33" s="12" t="s">
        <v>147</v>
      </c>
      <c r="G33" s="12" t="s">
        <v>265</v>
      </c>
      <c r="H33" s="14">
        <v>12716</v>
      </c>
      <c r="I33" s="15" t="s">
        <v>194</v>
      </c>
      <c r="J33" s="89">
        <f>IF(H33&gt;0,(H33*VLOOKUP(Lookups!$K$11,Lookups!$M$10:$P$43,4,0)/VLOOKUP(I33,Lookups!$M$10:$P$43,4,0)),"")</f>
        <v>16744.661187834296</v>
      </c>
      <c r="K33" s="14"/>
      <c r="L33" s="15"/>
      <c r="M33" s="89" t="str">
        <f>IF(K33&gt;0,(K33*VLOOKUP(Lookups!$K$11,Lookups!$M$10:$P$43,4,0)/VLOOKUP(L33,Lookups!$M$10:$P$43,4,0)),"")</f>
        <v/>
      </c>
      <c r="N33" s="14"/>
      <c r="O33" s="15"/>
      <c r="P33" s="89" t="str">
        <f>IF(N33&gt;0,(N33*VLOOKUP(Lookups!$K$11,Lookups!$M$10:$P$43,4,0)/VLOOKUP(O33,Lookups!$M$10:$P$43,4,0)),"")</f>
        <v/>
      </c>
      <c r="Q33" s="173" t="s">
        <v>391</v>
      </c>
      <c r="R33" s="15" t="s">
        <v>149</v>
      </c>
      <c r="S33" s="12"/>
      <c r="T33" s="134"/>
      <c r="U33" s="4"/>
      <c r="V33"/>
      <c r="W33"/>
    </row>
    <row r="34" spans="1:23" s="36" customFormat="1" ht="60" hidden="1" customHeight="1" outlineLevel="1" x14ac:dyDescent="0.25">
      <c r="A34" s="42" t="s">
        <v>177</v>
      </c>
      <c r="B34" s="42" t="s">
        <v>224</v>
      </c>
      <c r="C34" s="42" t="s">
        <v>392</v>
      </c>
      <c r="D34" s="42" t="s">
        <v>393</v>
      </c>
      <c r="E34" s="12" t="s">
        <v>158</v>
      </c>
      <c r="F34" s="12" t="s">
        <v>147</v>
      </c>
      <c r="G34" s="12" t="s">
        <v>265</v>
      </c>
      <c r="H34" s="14">
        <v>10887</v>
      </c>
      <c r="I34" s="15" t="s">
        <v>194</v>
      </c>
      <c r="J34" s="89">
        <f>IF(H34&gt;0,(H34*VLOOKUP(Lookups!$K$11,Lookups!$M$10:$P$43,4,0)/VLOOKUP(I34,Lookups!$M$10:$P$43,4,0)),"")</f>
        <v>14336.200562437243</v>
      </c>
      <c r="K34" s="14"/>
      <c r="L34" s="15"/>
      <c r="M34" s="89" t="str">
        <f>IF(K34&gt;0,(K34*VLOOKUP(Lookups!$K$11,Lookups!$M$10:$P$43,4,0)/VLOOKUP(L34,Lookups!$M$10:$P$43,4,0)),"")</f>
        <v/>
      </c>
      <c r="N34" s="14"/>
      <c r="O34" s="15"/>
      <c r="P34" s="89" t="str">
        <f>IF(N34&gt;0,(N34*VLOOKUP(Lookups!$K$11,Lookups!$M$10:$P$43,4,0)/VLOOKUP(O34,Lookups!$M$10:$P$43,4,0)),"")</f>
        <v/>
      </c>
      <c r="Q34" s="173" t="s">
        <v>391</v>
      </c>
      <c r="R34" s="15" t="s">
        <v>149</v>
      </c>
      <c r="S34" s="12"/>
      <c r="T34" s="134"/>
      <c r="U34" s="4"/>
      <c r="V34"/>
      <c r="W34"/>
    </row>
    <row r="35" spans="1:23" s="36" customFormat="1" ht="60" hidden="1" customHeight="1" outlineLevel="1" x14ac:dyDescent="0.25">
      <c r="A35" s="42" t="s">
        <v>177</v>
      </c>
      <c r="B35" s="42" t="s">
        <v>224</v>
      </c>
      <c r="C35" s="42" t="s">
        <v>394</v>
      </c>
      <c r="D35" s="42" t="s">
        <v>395</v>
      </c>
      <c r="E35" s="12" t="s">
        <v>158</v>
      </c>
      <c r="F35" s="12" t="s">
        <v>147</v>
      </c>
      <c r="G35" s="12" t="s">
        <v>265</v>
      </c>
      <c r="H35" s="14">
        <v>3448</v>
      </c>
      <c r="I35" s="15" t="s">
        <v>194</v>
      </c>
      <c r="J35" s="89">
        <f>IF(H35&gt;0,(H35*VLOOKUP(Lookups!$K$11,Lookups!$M$10:$P$43,4,0)/VLOOKUP(I35,Lookups!$M$10:$P$43,4,0)),"")</f>
        <v>4540.3894129956479</v>
      </c>
      <c r="K35" s="14"/>
      <c r="L35" s="15"/>
      <c r="M35" s="89" t="str">
        <f>IF(K35&gt;0,(K35*VLOOKUP(Lookups!$K$11,Lookups!$M$10:$P$43,4,0)/VLOOKUP(L35,Lookups!$M$10:$P$43,4,0)),"")</f>
        <v/>
      </c>
      <c r="N35" s="14"/>
      <c r="O35" s="15"/>
      <c r="P35" s="89" t="str">
        <f>IF(N35&gt;0,(N35*VLOOKUP(Lookups!$K$11,Lookups!$M$10:$P$43,4,0)/VLOOKUP(O35,Lookups!$M$10:$P$43,4,0)),"")</f>
        <v/>
      </c>
      <c r="Q35" s="173" t="s">
        <v>391</v>
      </c>
      <c r="R35" s="15" t="s">
        <v>149</v>
      </c>
      <c r="S35" s="12"/>
      <c r="T35" s="134"/>
      <c r="U35" s="4"/>
      <c r="V35"/>
      <c r="W35"/>
    </row>
    <row r="36" spans="1:23" s="36" customFormat="1" ht="60" hidden="1" customHeight="1" outlineLevel="1" x14ac:dyDescent="0.25">
      <c r="A36" s="42" t="s">
        <v>177</v>
      </c>
      <c r="B36" s="42" t="s">
        <v>224</v>
      </c>
      <c r="C36" s="42" t="s">
        <v>396</v>
      </c>
      <c r="D36" s="42" t="s">
        <v>397</v>
      </c>
      <c r="E36" s="12" t="s">
        <v>158</v>
      </c>
      <c r="F36" s="12" t="s">
        <v>147</v>
      </c>
      <c r="G36" s="12" t="s">
        <v>265</v>
      </c>
      <c r="H36" s="14">
        <v>9428</v>
      </c>
      <c r="I36" s="15" t="s">
        <v>194</v>
      </c>
      <c r="J36" s="89">
        <f>IF(H36&gt;0,(H36*VLOOKUP(Lookups!$K$11,Lookups!$M$10:$P$43,4,0)/VLOOKUP(I36,Lookups!$M$10:$P$43,4,0)),"")</f>
        <v>12414.96269887557</v>
      </c>
      <c r="K36" s="14"/>
      <c r="L36" s="15"/>
      <c r="M36" s="89" t="str">
        <f>IF(K36&gt;0,(K36*VLOOKUP(Lookups!$K$11,Lookups!$M$10:$P$43,4,0)/VLOOKUP(L36,Lookups!$M$10:$P$43,4,0)),"")</f>
        <v/>
      </c>
      <c r="N36" s="14"/>
      <c r="O36" s="15"/>
      <c r="P36" s="89" t="str">
        <f>IF(N36&gt;0,(N36*VLOOKUP(Lookups!$K$11,Lookups!$M$10:$P$43,4,0)/VLOOKUP(O36,Lookups!$M$10:$P$43,4,0)),"")</f>
        <v/>
      </c>
      <c r="Q36" s="173" t="s">
        <v>391</v>
      </c>
      <c r="R36" s="15" t="s">
        <v>149</v>
      </c>
      <c r="S36" s="12"/>
      <c r="T36" s="134"/>
      <c r="U36" s="4"/>
      <c r="V36"/>
      <c r="W36"/>
    </row>
    <row r="37" spans="1:23" s="36" customFormat="1" ht="60" hidden="1" customHeight="1" outlineLevel="1" x14ac:dyDescent="0.25">
      <c r="A37" s="42" t="s">
        <v>177</v>
      </c>
      <c r="B37" s="42" t="s">
        <v>224</v>
      </c>
      <c r="C37" s="42" t="s">
        <v>398</v>
      </c>
      <c r="D37" s="42" t="s">
        <v>399</v>
      </c>
      <c r="E37" s="12" t="s">
        <v>158</v>
      </c>
      <c r="F37" s="12" t="s">
        <v>147</v>
      </c>
      <c r="G37" s="12" t="s">
        <v>265</v>
      </c>
      <c r="H37" s="14">
        <v>4012</v>
      </c>
      <c r="I37" s="15" t="s">
        <v>194</v>
      </c>
      <c r="J37" s="89">
        <f>IF(H37&gt;0,(H37*VLOOKUP(Lookups!$K$11,Lookups!$M$10:$P$43,4,0)/VLOOKUP(I37,Lookups!$M$10:$P$43,4,0)),"")</f>
        <v>5283.0749202257939</v>
      </c>
      <c r="K37" s="14"/>
      <c r="L37" s="15"/>
      <c r="M37" s="89" t="str">
        <f>IF(K37&gt;0,(K37*VLOOKUP(Lookups!$K$11,Lookups!$M$10:$P$43,4,0)/VLOOKUP(L37,Lookups!$M$10:$P$43,4,0)),"")</f>
        <v/>
      </c>
      <c r="N37" s="14"/>
      <c r="O37" s="15"/>
      <c r="P37" s="89" t="str">
        <f>IF(N37&gt;0,(N37*VLOOKUP(Lookups!$K$11,Lookups!$M$10:$P$43,4,0)/VLOOKUP(O37,Lookups!$M$10:$P$43,4,0)),"")</f>
        <v/>
      </c>
      <c r="Q37" s="173" t="s">
        <v>391</v>
      </c>
      <c r="R37" s="15" t="s">
        <v>149</v>
      </c>
      <c r="S37" s="12"/>
      <c r="T37" s="134"/>
      <c r="U37" s="4"/>
      <c r="V37"/>
      <c r="W37"/>
    </row>
    <row r="38" spans="1:23" s="36" customFormat="1" ht="60" hidden="1" customHeight="1" outlineLevel="1" x14ac:dyDescent="0.25">
      <c r="A38" s="42" t="s">
        <v>177</v>
      </c>
      <c r="B38" s="42" t="s">
        <v>224</v>
      </c>
      <c r="C38" s="42" t="s">
        <v>400</v>
      </c>
      <c r="D38" s="42" t="s">
        <v>401</v>
      </c>
      <c r="E38" s="12" t="s">
        <v>158</v>
      </c>
      <c r="F38" s="12" t="s">
        <v>147</v>
      </c>
      <c r="G38" s="12" t="s">
        <v>265</v>
      </c>
      <c r="H38" s="14">
        <v>3104</v>
      </c>
      <c r="I38" s="15" t="s">
        <v>194</v>
      </c>
      <c r="J38" s="89">
        <f>IF(H38&gt;0,(H38*VLOOKUP(Lookups!$K$11,Lookups!$M$10:$P$43,4,0)/VLOOKUP(I38,Lookups!$M$10:$P$43,4,0)),"")</f>
        <v>4087.4039263162676</v>
      </c>
      <c r="K38" s="14"/>
      <c r="L38" s="15"/>
      <c r="M38" s="89" t="str">
        <f>IF(K38&gt;0,(K38*VLOOKUP(Lookups!$K$11,Lookups!$M$10:$P$43,4,0)/VLOOKUP(L38,Lookups!$M$10:$P$43,4,0)),"")</f>
        <v/>
      </c>
      <c r="N38" s="14"/>
      <c r="O38" s="15"/>
      <c r="P38" s="89" t="str">
        <f>IF(N38&gt;0,(N38*VLOOKUP(Lookups!$K$11,Lookups!$M$10:$P$43,4,0)/VLOOKUP(O38,Lookups!$M$10:$P$43,4,0)),"")</f>
        <v/>
      </c>
      <c r="Q38" s="173" t="s">
        <v>391</v>
      </c>
      <c r="R38" s="15" t="s">
        <v>149</v>
      </c>
      <c r="S38" s="12"/>
      <c r="T38" s="134"/>
      <c r="U38" s="4"/>
      <c r="V38"/>
      <c r="W38"/>
    </row>
    <row r="39" spans="1:23" s="36" customFormat="1" ht="60" hidden="1" customHeight="1" outlineLevel="1" x14ac:dyDescent="0.25">
      <c r="A39" s="42" t="s">
        <v>177</v>
      </c>
      <c r="B39" s="42" t="s">
        <v>224</v>
      </c>
      <c r="C39" s="42" t="s">
        <v>402</v>
      </c>
      <c r="D39" s="42" t="s">
        <v>403</v>
      </c>
      <c r="E39" s="12" t="s">
        <v>158</v>
      </c>
      <c r="F39" s="12" t="s">
        <v>147</v>
      </c>
      <c r="G39" s="12" t="s">
        <v>265</v>
      </c>
      <c r="H39" s="14">
        <v>445</v>
      </c>
      <c r="I39" s="15" t="s">
        <v>194</v>
      </c>
      <c r="J39" s="89">
        <f>IF(H39&gt;0,(H39*VLOOKUP(Lookups!$K$11,Lookups!$M$10:$P$43,4,0)/VLOOKUP(I39,Lookups!$M$10:$P$43,4,0)),"")</f>
        <v>585.98413247768644</v>
      </c>
      <c r="K39" s="14"/>
      <c r="L39" s="15"/>
      <c r="M39" s="89" t="str">
        <f>IF(K39&gt;0,(K39*VLOOKUP(Lookups!$K$11,Lookups!$M$10:$P$43,4,0)/VLOOKUP(L39,Lookups!$M$10:$P$43,4,0)),"")</f>
        <v/>
      </c>
      <c r="N39" s="14"/>
      <c r="O39" s="15"/>
      <c r="P39" s="89" t="str">
        <f>IF(N39&gt;0,(N39*VLOOKUP(Lookups!$K$11,Lookups!$M$10:$P$43,4,0)/VLOOKUP(O39,Lookups!$M$10:$P$43,4,0)),"")</f>
        <v/>
      </c>
      <c r="Q39" s="173" t="s">
        <v>391</v>
      </c>
      <c r="R39" s="15" t="s">
        <v>149</v>
      </c>
      <c r="S39" s="12"/>
      <c r="T39" s="134"/>
      <c r="U39" s="4"/>
      <c r="V39"/>
      <c r="W39"/>
    </row>
    <row r="40" spans="1:23" s="36" customFormat="1" ht="60" hidden="1" customHeight="1" outlineLevel="1" x14ac:dyDescent="0.25">
      <c r="A40" s="42" t="s">
        <v>177</v>
      </c>
      <c r="B40" s="42" t="s">
        <v>224</v>
      </c>
      <c r="C40" s="42" t="s">
        <v>404</v>
      </c>
      <c r="D40" s="42" t="s">
        <v>405</v>
      </c>
      <c r="E40" s="12" t="s">
        <v>158</v>
      </c>
      <c r="F40" s="12" t="s">
        <v>147</v>
      </c>
      <c r="G40" s="12" t="s">
        <v>265</v>
      </c>
      <c r="H40" s="14">
        <v>2500</v>
      </c>
      <c r="I40" s="15" t="s">
        <v>194</v>
      </c>
      <c r="J40" s="89">
        <f>IF(H40&gt;0,(H40*VLOOKUP(Lookups!$K$11,Lookups!$M$10:$P$43,4,0)/VLOOKUP(I40,Lookups!$M$10:$P$43,4,0)),"")</f>
        <v>3292.0456880768907</v>
      </c>
      <c r="K40" s="14"/>
      <c r="L40" s="15"/>
      <c r="M40" s="89" t="str">
        <f>IF(K40&gt;0,(K40*VLOOKUP(Lookups!$K$11,Lookups!$M$10:$P$43,4,0)/VLOOKUP(L40,Lookups!$M$10:$P$43,4,0)),"")</f>
        <v/>
      </c>
      <c r="N40" s="14"/>
      <c r="O40" s="15"/>
      <c r="P40" s="89" t="str">
        <f>IF(N40&gt;0,(N40*VLOOKUP(Lookups!$K$11,Lookups!$M$10:$P$43,4,0)/VLOOKUP(O40,Lookups!$M$10:$P$43,4,0)),"")</f>
        <v/>
      </c>
      <c r="Q40" s="173" t="s">
        <v>391</v>
      </c>
      <c r="R40" s="15" t="s">
        <v>149</v>
      </c>
      <c r="S40" s="12"/>
      <c r="T40" s="134"/>
      <c r="U40" s="4"/>
      <c r="V40"/>
      <c r="W40"/>
    </row>
    <row r="41" spans="1:23" s="36" customFormat="1" ht="60" hidden="1" customHeight="1" outlineLevel="1" x14ac:dyDescent="0.25">
      <c r="A41" s="42" t="s">
        <v>177</v>
      </c>
      <c r="B41" s="42" t="s">
        <v>224</v>
      </c>
      <c r="C41" s="42" t="s">
        <v>406</v>
      </c>
      <c r="D41" s="42" t="s">
        <v>407</v>
      </c>
      <c r="E41" s="12" t="s">
        <v>158</v>
      </c>
      <c r="F41" s="12" t="s">
        <v>147</v>
      </c>
      <c r="G41" s="12" t="s">
        <v>265</v>
      </c>
      <c r="H41" s="14">
        <v>2112</v>
      </c>
      <c r="I41" s="15" t="s">
        <v>194</v>
      </c>
      <c r="J41" s="89">
        <f>IF(H41&gt;0,(H41*VLOOKUP(Lookups!$K$11,Lookups!$M$10:$P$43,4,0)/VLOOKUP(I41,Lookups!$M$10:$P$43,4,0)),"")</f>
        <v>2781.1201972873573</v>
      </c>
      <c r="K41" s="14"/>
      <c r="L41" s="15"/>
      <c r="M41" s="89" t="str">
        <f>IF(K41&gt;0,(K41*VLOOKUP(Lookups!$K$11,Lookups!$M$10:$P$43,4,0)/VLOOKUP(L41,Lookups!$M$10:$P$43,4,0)),"")</f>
        <v/>
      </c>
      <c r="N41" s="14"/>
      <c r="O41" s="15"/>
      <c r="P41" s="89" t="str">
        <f>IF(N41&gt;0,(N41*VLOOKUP(Lookups!$K$11,Lookups!$M$10:$P$43,4,0)/VLOOKUP(O41,Lookups!$M$10:$P$43,4,0)),"")</f>
        <v/>
      </c>
      <c r="Q41" s="143" t="s">
        <v>391</v>
      </c>
      <c r="R41" s="15" t="s">
        <v>149</v>
      </c>
      <c r="S41" s="12"/>
      <c r="T41" s="134"/>
      <c r="U41" s="4"/>
      <c r="V41"/>
      <c r="W41"/>
    </row>
    <row r="42" spans="1:23" s="36" customFormat="1" ht="60" hidden="1" customHeight="1" outlineLevel="1" x14ac:dyDescent="0.25">
      <c r="A42" s="42" t="s">
        <v>177</v>
      </c>
      <c r="B42" s="42" t="s">
        <v>224</v>
      </c>
      <c r="C42" s="42" t="s">
        <v>408</v>
      </c>
      <c r="D42" s="42" t="s">
        <v>409</v>
      </c>
      <c r="E42" s="12" t="s">
        <v>158</v>
      </c>
      <c r="F42" s="12" t="s">
        <v>147</v>
      </c>
      <c r="G42" s="12" t="s">
        <v>265</v>
      </c>
      <c r="H42" s="14">
        <v>2112</v>
      </c>
      <c r="I42" s="15" t="s">
        <v>194</v>
      </c>
      <c r="J42" s="89">
        <f>IF(H42&gt;0,(H42*VLOOKUP(Lookups!$K$11,Lookups!$M$10:$P$43,4,0)/VLOOKUP(I42,Lookups!$M$10:$P$43,4,0)),"")</f>
        <v>2781.1201972873573</v>
      </c>
      <c r="K42" s="14"/>
      <c r="L42" s="15"/>
      <c r="M42" s="89" t="str">
        <f>IF(K42&gt;0,(K42*VLOOKUP(Lookups!$K$11,Lookups!$M$10:$P$43,4,0)/VLOOKUP(L42,Lookups!$M$10:$P$43,4,0)),"")</f>
        <v/>
      </c>
      <c r="N42" s="14"/>
      <c r="O42" s="15"/>
      <c r="P42" s="89" t="str">
        <f>IF(N42&gt;0,(N42*VLOOKUP(Lookups!$K$11,Lookups!$M$10:$P$43,4,0)/VLOOKUP(O42,Lookups!$M$10:$P$43,4,0)),"")</f>
        <v/>
      </c>
      <c r="Q42" s="143" t="s">
        <v>391</v>
      </c>
      <c r="R42" s="15" t="s">
        <v>149</v>
      </c>
      <c r="S42" s="12"/>
      <c r="T42" s="134"/>
      <c r="U42" s="4"/>
      <c r="V42"/>
      <c r="W42"/>
    </row>
    <row r="43" spans="1:23" s="36" customFormat="1" ht="60" hidden="1" customHeight="1" outlineLevel="1" x14ac:dyDescent="0.25">
      <c r="A43" s="42" t="s">
        <v>177</v>
      </c>
      <c r="B43" s="42" t="s">
        <v>224</v>
      </c>
      <c r="C43" s="42" t="s">
        <v>410</v>
      </c>
      <c r="D43" s="42" t="s">
        <v>411</v>
      </c>
      <c r="E43" s="12" t="s">
        <v>158</v>
      </c>
      <c r="F43" s="12" t="s">
        <v>147</v>
      </c>
      <c r="G43" s="12" t="s">
        <v>265</v>
      </c>
      <c r="H43" s="14">
        <v>272</v>
      </c>
      <c r="I43" s="15" t="s">
        <v>194</v>
      </c>
      <c r="J43" s="89">
        <f>IF(H43&gt;0,(H43*VLOOKUP(Lookups!$K$11,Lookups!$M$10:$P$43,4,0)/VLOOKUP(I43,Lookups!$M$10:$P$43,4,0)),"")</f>
        <v>358.17457086276568</v>
      </c>
      <c r="K43" s="14"/>
      <c r="L43" s="15"/>
      <c r="M43" s="89" t="str">
        <f>IF(K43&gt;0,(K43*VLOOKUP(Lookups!$K$11,Lookups!$M$10:$P$43,4,0)/VLOOKUP(L43,Lookups!$M$10:$P$43,4,0)),"")</f>
        <v/>
      </c>
      <c r="N43" s="14"/>
      <c r="O43" s="15"/>
      <c r="P43" s="89" t="str">
        <f>IF(N43&gt;0,(N43*VLOOKUP(Lookups!$K$11,Lookups!$M$10:$P$43,4,0)/VLOOKUP(O43,Lookups!$M$10:$P$43,4,0)),"")</f>
        <v/>
      </c>
      <c r="Q43" s="143" t="s">
        <v>391</v>
      </c>
      <c r="R43" s="15" t="s">
        <v>149</v>
      </c>
      <c r="S43" s="12"/>
      <c r="T43" s="134"/>
      <c r="U43" s="4"/>
      <c r="V43"/>
      <c r="W43"/>
    </row>
    <row r="44" spans="1:23" s="36" customFormat="1" ht="60" hidden="1" customHeight="1" outlineLevel="1" x14ac:dyDescent="0.25">
      <c r="A44" s="38" t="s">
        <v>177</v>
      </c>
      <c r="B44" s="38" t="s">
        <v>224</v>
      </c>
      <c r="C44" s="38" t="s">
        <v>556</v>
      </c>
      <c r="D44" s="38" t="s">
        <v>545</v>
      </c>
      <c r="E44" s="12" t="s">
        <v>158</v>
      </c>
      <c r="F44" s="12" t="s">
        <v>147</v>
      </c>
      <c r="G44" s="12" t="s">
        <v>265</v>
      </c>
      <c r="H44" s="14">
        <v>6837</v>
      </c>
      <c r="I44" s="15" t="s">
        <v>194</v>
      </c>
      <c r="J44" s="89">
        <f>IF(H44&gt;0,(H44*VLOOKUP(Lookups!$K$11,Lookups!$M$10:$P$43,4,0)/VLOOKUP(I44,Lookups!$M$10:$P$43,4,0)),"")</f>
        <v>9003.0865477526804</v>
      </c>
      <c r="K44" s="14"/>
      <c r="L44" s="15"/>
      <c r="M44" s="89" t="str">
        <f>IF(K44&gt;0,(K44*VLOOKUP(Lookups!$K$11,Lookups!$M$10:$P$43,4,0)/VLOOKUP(L44,Lookups!$M$10:$P$43,4,0)),"")</f>
        <v/>
      </c>
      <c r="N44" s="14"/>
      <c r="O44" s="15"/>
      <c r="P44" s="89" t="str">
        <f>IF(N44&gt;0,(N44*VLOOKUP(Lookups!$K$11,Lookups!$M$10:$P$43,4,0)/VLOOKUP(O44,Lookups!$M$10:$P$43,4,0)),"")</f>
        <v/>
      </c>
      <c r="Q44" s="143" t="s">
        <v>391</v>
      </c>
      <c r="R44" s="15" t="s">
        <v>149</v>
      </c>
      <c r="S44" s="12"/>
      <c r="T44" s="134"/>
      <c r="U44" s="4"/>
      <c r="V44"/>
      <c r="W44"/>
    </row>
    <row r="45" spans="1:23" s="36" customFormat="1" ht="60" hidden="1" customHeight="1" outlineLevel="1" x14ac:dyDescent="0.25">
      <c r="A45" s="42" t="s">
        <v>177</v>
      </c>
      <c r="B45" s="42" t="s">
        <v>224</v>
      </c>
      <c r="C45" s="42" t="s">
        <v>558</v>
      </c>
      <c r="D45" s="42" t="s">
        <v>546</v>
      </c>
      <c r="E45" s="12" t="s">
        <v>158</v>
      </c>
      <c r="F45" s="12" t="s">
        <v>147</v>
      </c>
      <c r="G45" s="12" t="s">
        <v>265</v>
      </c>
      <c r="H45" s="14">
        <v>4061</v>
      </c>
      <c r="I45" s="15" t="s">
        <v>194</v>
      </c>
      <c r="J45" s="89">
        <f>IF(H45&gt;0,(H45*VLOOKUP(Lookups!$K$11,Lookups!$M$10:$P$43,4,0)/VLOOKUP(I45,Lookups!$M$10:$P$43,4,0)),"")</f>
        <v>5347.5990157121014</v>
      </c>
      <c r="K45" s="14"/>
      <c r="L45" s="15"/>
      <c r="M45" s="89" t="str">
        <f>IF(K45&gt;0,(K45*VLOOKUP(Lookups!$K$11,Lookups!$M$10:$P$43,4,0)/VLOOKUP(L45,Lookups!$M$10:$P$43,4,0)),"")</f>
        <v/>
      </c>
      <c r="N45" s="14"/>
      <c r="O45" s="15"/>
      <c r="P45" s="89" t="str">
        <f>IF(N45&gt;0,(N45*VLOOKUP(Lookups!$K$11,Lookups!$M$10:$P$43,4,0)/VLOOKUP(O45,Lookups!$M$10:$P$43,4,0)),"")</f>
        <v/>
      </c>
      <c r="Q45" s="143" t="s">
        <v>391</v>
      </c>
      <c r="R45" s="15" t="s">
        <v>149</v>
      </c>
      <c r="S45" s="12"/>
      <c r="T45" s="134"/>
      <c r="U45" s="4"/>
      <c r="V45"/>
      <c r="W45"/>
    </row>
    <row r="46" spans="1:23" s="36" customFormat="1" ht="60" hidden="1" customHeight="1" outlineLevel="1" x14ac:dyDescent="0.25">
      <c r="A46" s="42" t="s">
        <v>177</v>
      </c>
      <c r="B46" s="42" t="s">
        <v>224</v>
      </c>
      <c r="C46" s="42" t="s">
        <v>1000</v>
      </c>
      <c r="D46" s="42" t="s">
        <v>547</v>
      </c>
      <c r="E46" s="12" t="s">
        <v>158</v>
      </c>
      <c r="F46" s="12" t="s">
        <v>147</v>
      </c>
      <c r="G46" s="12" t="s">
        <v>265</v>
      </c>
      <c r="H46" s="14">
        <v>1650</v>
      </c>
      <c r="I46" s="15" t="s">
        <v>194</v>
      </c>
      <c r="J46" s="89">
        <f>IF(H46&gt;0,(H46*VLOOKUP(Lookups!$K$11,Lookups!$M$10:$P$43,4,0)/VLOOKUP(I46,Lookups!$M$10:$P$43,4,0)),"")</f>
        <v>2172.7501541307479</v>
      </c>
      <c r="K46" s="14"/>
      <c r="L46" s="15"/>
      <c r="M46" s="89" t="str">
        <f>IF(K46&gt;0,(K46*VLOOKUP(Lookups!$K$11,Lookups!$M$10:$P$43,4,0)/VLOOKUP(L46,Lookups!$M$10:$P$43,4,0)),"")</f>
        <v/>
      </c>
      <c r="N46" s="14"/>
      <c r="O46" s="15"/>
      <c r="P46" s="89" t="str">
        <f>IF(N46&gt;0,(N46*VLOOKUP(Lookups!$K$11,Lookups!$M$10:$P$43,4,0)/VLOOKUP(O46,Lookups!$M$10:$P$43,4,0)),"")</f>
        <v/>
      </c>
      <c r="Q46" s="143" t="s">
        <v>391</v>
      </c>
      <c r="R46" s="15" t="s">
        <v>149</v>
      </c>
      <c r="S46" s="12"/>
      <c r="T46" s="134"/>
      <c r="U46" s="4"/>
      <c r="V46"/>
      <c r="W46"/>
    </row>
    <row r="47" spans="1:23" s="36" customFormat="1" ht="60" hidden="1" customHeight="1" outlineLevel="1" x14ac:dyDescent="0.25">
      <c r="A47" s="42" t="s">
        <v>177</v>
      </c>
      <c r="B47" s="42" t="s">
        <v>224</v>
      </c>
      <c r="C47" s="42" t="s">
        <v>1001</v>
      </c>
      <c r="D47" s="42" t="s">
        <v>548</v>
      </c>
      <c r="E47" s="12" t="s">
        <v>158</v>
      </c>
      <c r="F47" s="12" t="s">
        <v>147</v>
      </c>
      <c r="G47" s="12" t="s">
        <v>265</v>
      </c>
      <c r="H47" s="14">
        <v>4800</v>
      </c>
      <c r="I47" s="15" t="s">
        <v>194</v>
      </c>
      <c r="J47" s="89">
        <f>IF(H47&gt;0,(H47*VLOOKUP(Lookups!$K$11,Lookups!$M$10:$P$43,4,0)/VLOOKUP(I47,Lookups!$M$10:$P$43,4,0)),"")</f>
        <v>6320.7277211076298</v>
      </c>
      <c r="K47" s="14"/>
      <c r="L47" s="15"/>
      <c r="M47" s="89" t="str">
        <f>IF(K47&gt;0,(K47*VLOOKUP(Lookups!$K$11,Lookups!$M$10:$P$43,4,0)/VLOOKUP(L47,Lookups!$M$10:$P$43,4,0)),"")</f>
        <v/>
      </c>
      <c r="N47" s="14"/>
      <c r="O47" s="15"/>
      <c r="P47" s="89" t="str">
        <f>IF(N47&gt;0,(N47*VLOOKUP(Lookups!$K$11,Lookups!$M$10:$P$43,4,0)/VLOOKUP(O47,Lookups!$M$10:$P$43,4,0)),"")</f>
        <v/>
      </c>
      <c r="Q47" s="143" t="s">
        <v>391</v>
      </c>
      <c r="R47" s="15" t="s">
        <v>149</v>
      </c>
      <c r="S47" s="12"/>
      <c r="T47" s="134"/>
      <c r="U47" s="4"/>
      <c r="V47"/>
      <c r="W47"/>
    </row>
    <row r="48" spans="1:23" s="36" customFormat="1" ht="60" hidden="1" customHeight="1" outlineLevel="1" x14ac:dyDescent="0.25">
      <c r="A48" s="42" t="s">
        <v>177</v>
      </c>
      <c r="B48" s="42" t="s">
        <v>224</v>
      </c>
      <c r="C48" s="42" t="s">
        <v>1002</v>
      </c>
      <c r="D48" s="42" t="s">
        <v>549</v>
      </c>
      <c r="E48" s="12" t="s">
        <v>158</v>
      </c>
      <c r="F48" s="12" t="s">
        <v>147</v>
      </c>
      <c r="G48" s="12" t="s">
        <v>265</v>
      </c>
      <c r="H48" s="14">
        <v>2645</v>
      </c>
      <c r="I48" s="15" t="s">
        <v>194</v>
      </c>
      <c r="J48" s="89">
        <f>IF(H48&gt;0,(H48*VLOOKUP(Lookups!$K$11,Lookups!$M$10:$P$43,4,0)/VLOOKUP(I48,Lookups!$M$10:$P$43,4,0)),"")</f>
        <v>3482.9843379853505</v>
      </c>
      <c r="K48" s="14"/>
      <c r="L48" s="15"/>
      <c r="M48" s="89" t="str">
        <f>IF(K48&gt;0,(K48*VLOOKUP(Lookups!$K$11,Lookups!$M$10:$P$43,4,0)/VLOOKUP(L48,Lookups!$M$10:$P$43,4,0)),"")</f>
        <v/>
      </c>
      <c r="N48" s="14"/>
      <c r="O48" s="15"/>
      <c r="P48" s="89" t="str">
        <f>IF(N48&gt;0,(N48*VLOOKUP(Lookups!$K$11,Lookups!$M$10:$P$43,4,0)/VLOOKUP(O48,Lookups!$M$10:$P$43,4,0)),"")</f>
        <v/>
      </c>
      <c r="Q48" s="143" t="s">
        <v>391</v>
      </c>
      <c r="R48" s="15" t="s">
        <v>149</v>
      </c>
      <c r="S48" s="12"/>
      <c r="T48" s="134"/>
      <c r="U48" s="4"/>
      <c r="V48"/>
      <c r="W48"/>
    </row>
    <row r="49" spans="1:23" s="36" customFormat="1" ht="60" hidden="1" customHeight="1" outlineLevel="1" x14ac:dyDescent="0.25">
      <c r="A49" s="42" t="s">
        <v>177</v>
      </c>
      <c r="B49" s="42" t="s">
        <v>224</v>
      </c>
      <c r="C49" s="42" t="s">
        <v>1003</v>
      </c>
      <c r="D49" s="42" t="s">
        <v>550</v>
      </c>
      <c r="E49" s="12" t="s">
        <v>158</v>
      </c>
      <c r="F49" s="12" t="s">
        <v>147</v>
      </c>
      <c r="G49" s="12" t="s">
        <v>265</v>
      </c>
      <c r="H49" s="14">
        <v>1300</v>
      </c>
      <c r="I49" s="15" t="s">
        <v>194</v>
      </c>
      <c r="J49" s="89">
        <f>IF(H49&gt;0,(H49*VLOOKUP(Lookups!$K$11,Lookups!$M$10:$P$43,4,0)/VLOOKUP(I49,Lookups!$M$10:$P$43,4,0)),"")</f>
        <v>1711.8637577999832</v>
      </c>
      <c r="K49" s="14"/>
      <c r="L49" s="15"/>
      <c r="M49" s="89" t="str">
        <f>IF(K49&gt;0,(K49*VLOOKUP(Lookups!$K$11,Lookups!$M$10:$P$43,4,0)/VLOOKUP(L49,Lookups!$M$10:$P$43,4,0)),"")</f>
        <v/>
      </c>
      <c r="N49" s="14"/>
      <c r="O49" s="15"/>
      <c r="P49" s="89" t="str">
        <f>IF(N49&gt;0,(N49*VLOOKUP(Lookups!$K$11,Lookups!$M$10:$P$43,4,0)/VLOOKUP(O49,Lookups!$M$10:$P$43,4,0)),"")</f>
        <v/>
      </c>
      <c r="Q49" s="143" t="s">
        <v>391</v>
      </c>
      <c r="R49" s="15" t="s">
        <v>149</v>
      </c>
      <c r="S49" s="12"/>
      <c r="T49" s="134"/>
      <c r="U49" s="4"/>
      <c r="V49"/>
      <c r="W49"/>
    </row>
    <row r="50" spans="1:23" s="36" customFormat="1" ht="60" hidden="1" customHeight="1" outlineLevel="1" x14ac:dyDescent="0.25">
      <c r="A50" s="42" t="s">
        <v>177</v>
      </c>
      <c r="B50" s="42" t="s">
        <v>224</v>
      </c>
      <c r="C50" s="42" t="s">
        <v>1004</v>
      </c>
      <c r="D50" s="42" t="s">
        <v>551</v>
      </c>
      <c r="E50" s="12" t="s">
        <v>158</v>
      </c>
      <c r="F50" s="12" t="s">
        <v>147</v>
      </c>
      <c r="G50" s="12" t="s">
        <v>265</v>
      </c>
      <c r="H50" s="14">
        <v>840</v>
      </c>
      <c r="I50" s="15" t="s">
        <v>194</v>
      </c>
      <c r="J50" s="89">
        <f>IF(H50&gt;0,(H50*VLOOKUP(Lookups!$K$11,Lookups!$M$10:$P$43,4,0)/VLOOKUP(I50,Lookups!$M$10:$P$43,4,0)),"")</f>
        <v>1106.1273511938352</v>
      </c>
      <c r="K50" s="14"/>
      <c r="L50" s="15"/>
      <c r="M50" s="89" t="str">
        <f>IF(K50&gt;0,(K50*VLOOKUP(Lookups!$K$11,Lookups!$M$10:$P$43,4,0)/VLOOKUP(L50,Lookups!$M$10:$P$43,4,0)),"")</f>
        <v/>
      </c>
      <c r="N50" s="14"/>
      <c r="O50" s="15"/>
      <c r="P50" s="89" t="str">
        <f>IF(N50&gt;0,(N50*VLOOKUP(Lookups!$K$11,Lookups!$M$10:$P$43,4,0)/VLOOKUP(O50,Lookups!$M$10:$P$43,4,0)),"")</f>
        <v/>
      </c>
      <c r="Q50" s="143" t="s">
        <v>391</v>
      </c>
      <c r="R50" s="15" t="s">
        <v>149</v>
      </c>
      <c r="S50" s="12"/>
      <c r="T50" s="134"/>
      <c r="U50" s="4"/>
      <c r="V50"/>
      <c r="W50"/>
    </row>
    <row r="51" spans="1:23" s="36" customFormat="1" ht="60" hidden="1" customHeight="1" outlineLevel="1" x14ac:dyDescent="0.25">
      <c r="A51" s="42" t="s">
        <v>177</v>
      </c>
      <c r="B51" s="42" t="s">
        <v>224</v>
      </c>
      <c r="C51" s="42" t="s">
        <v>1005</v>
      </c>
      <c r="D51" s="42" t="s">
        <v>552</v>
      </c>
      <c r="E51" s="12" t="s">
        <v>158</v>
      </c>
      <c r="F51" s="12" t="s">
        <v>147</v>
      </c>
      <c r="G51" s="12" t="s">
        <v>265</v>
      </c>
      <c r="H51" s="14">
        <v>1400</v>
      </c>
      <c r="I51" s="15" t="s">
        <v>194</v>
      </c>
      <c r="J51" s="89">
        <f>IF(H51&gt;0,(H51*VLOOKUP(Lookups!$K$11,Lookups!$M$10:$P$43,4,0)/VLOOKUP(I51,Lookups!$M$10:$P$43,4,0)),"")</f>
        <v>1843.545585323059</v>
      </c>
      <c r="K51" s="14"/>
      <c r="L51" s="15"/>
      <c r="M51" s="89" t="str">
        <f>IF(K51&gt;0,(K51*VLOOKUP(Lookups!$K$11,Lookups!$M$10:$P$43,4,0)/VLOOKUP(L51,Lookups!$M$10:$P$43,4,0)),"")</f>
        <v/>
      </c>
      <c r="N51" s="14"/>
      <c r="O51" s="15"/>
      <c r="P51" s="89" t="str">
        <f>IF(N51&gt;0,(N51*VLOOKUP(Lookups!$K$11,Lookups!$M$10:$P$43,4,0)/VLOOKUP(O51,Lookups!$M$10:$P$43,4,0)),"")</f>
        <v/>
      </c>
      <c r="Q51" s="143" t="s">
        <v>391</v>
      </c>
      <c r="R51" s="15" t="s">
        <v>149</v>
      </c>
      <c r="S51" s="12"/>
      <c r="T51" s="134"/>
      <c r="U51" s="4"/>
      <c r="V51"/>
      <c r="W51"/>
    </row>
    <row r="52" spans="1:23" s="36" customFormat="1" ht="60" hidden="1" customHeight="1" outlineLevel="1" x14ac:dyDescent="0.25">
      <c r="A52" s="42" t="s">
        <v>177</v>
      </c>
      <c r="B52" s="42" t="s">
        <v>224</v>
      </c>
      <c r="C52" s="42" t="s">
        <v>1006</v>
      </c>
      <c r="D52" s="42" t="s">
        <v>553</v>
      </c>
      <c r="E52" s="12" t="s">
        <v>158</v>
      </c>
      <c r="F52" s="12" t="s">
        <v>147</v>
      </c>
      <c r="G52" s="12" t="s">
        <v>265</v>
      </c>
      <c r="H52" s="14">
        <v>2400</v>
      </c>
      <c r="I52" s="15" t="s">
        <v>194</v>
      </c>
      <c r="J52" s="89">
        <f>IF(H52&gt;0,(H52*VLOOKUP(Lookups!$K$11,Lookups!$M$10:$P$43,4,0)/VLOOKUP(I52,Lookups!$M$10:$P$43,4,0)),"")</f>
        <v>3160.3638605538149</v>
      </c>
      <c r="K52" s="14"/>
      <c r="L52" s="15"/>
      <c r="M52" s="89" t="str">
        <f>IF(K52&gt;0,(K52*VLOOKUP(Lookups!$K$11,Lookups!$M$10:$P$43,4,0)/VLOOKUP(L52,Lookups!$M$10:$P$43,4,0)),"")</f>
        <v/>
      </c>
      <c r="N52" s="14"/>
      <c r="O52" s="15"/>
      <c r="P52" s="89" t="str">
        <f>IF(N52&gt;0,(N52*VLOOKUP(Lookups!$K$11,Lookups!$M$10:$P$43,4,0)/VLOOKUP(O52,Lookups!$M$10:$P$43,4,0)),"")</f>
        <v/>
      </c>
      <c r="Q52" s="143" t="s">
        <v>391</v>
      </c>
      <c r="R52" s="15" t="s">
        <v>149</v>
      </c>
      <c r="S52" s="12"/>
      <c r="T52" s="134"/>
      <c r="U52" s="4"/>
      <c r="V52"/>
      <c r="W52"/>
    </row>
    <row r="53" spans="1:23" s="36" customFormat="1" ht="60" hidden="1" customHeight="1" outlineLevel="1" x14ac:dyDescent="0.25">
      <c r="A53" s="42" t="s">
        <v>177</v>
      </c>
      <c r="B53" s="42" t="s">
        <v>224</v>
      </c>
      <c r="C53" s="42" t="s">
        <v>1007</v>
      </c>
      <c r="D53" s="42" t="s">
        <v>554</v>
      </c>
      <c r="E53" s="12" t="s">
        <v>158</v>
      </c>
      <c r="F53" s="12" t="s">
        <v>147</v>
      </c>
      <c r="G53" s="12" t="s">
        <v>265</v>
      </c>
      <c r="H53" s="14">
        <v>400</v>
      </c>
      <c r="I53" s="15" t="s">
        <v>194</v>
      </c>
      <c r="J53" s="89">
        <f>IF(H53&gt;0,(H53*VLOOKUP(Lookups!$K$11,Lookups!$M$10:$P$43,4,0)/VLOOKUP(I53,Lookups!$M$10:$P$43,4,0)),"")</f>
        <v>526.72731009230245</v>
      </c>
      <c r="K53" s="14"/>
      <c r="L53" s="15"/>
      <c r="M53" s="89" t="str">
        <f>IF(K53&gt;0,(K53*VLOOKUP(Lookups!$K$11,Lookups!$M$10:$P$43,4,0)/VLOOKUP(L53,Lookups!$M$10:$P$43,4,0)),"")</f>
        <v/>
      </c>
      <c r="N53" s="14"/>
      <c r="O53" s="15"/>
      <c r="P53" s="89" t="str">
        <f>IF(N53&gt;0,(N53*VLOOKUP(Lookups!$K$11,Lookups!$M$10:$P$43,4,0)/VLOOKUP(O53,Lookups!$M$10:$P$43,4,0)),"")</f>
        <v/>
      </c>
      <c r="Q53" s="143" t="s">
        <v>391</v>
      </c>
      <c r="R53" s="15" t="s">
        <v>149</v>
      </c>
      <c r="S53" s="12"/>
      <c r="T53" s="134"/>
      <c r="U53" s="4"/>
      <c r="V53"/>
      <c r="W53"/>
    </row>
    <row r="54" spans="1:23" s="36" customFormat="1" ht="60" hidden="1" customHeight="1" outlineLevel="1" x14ac:dyDescent="0.25">
      <c r="A54" s="42" t="s">
        <v>177</v>
      </c>
      <c r="B54" s="42" t="s">
        <v>224</v>
      </c>
      <c r="C54" s="42" t="s">
        <v>1008</v>
      </c>
      <c r="D54" s="42" t="s">
        <v>555</v>
      </c>
      <c r="E54" s="12" t="s">
        <v>165</v>
      </c>
      <c r="F54" s="12" t="s">
        <v>147</v>
      </c>
      <c r="G54" s="12" t="s">
        <v>265</v>
      </c>
      <c r="H54" s="14">
        <v>4898</v>
      </c>
      <c r="I54" s="15" t="s">
        <v>194</v>
      </c>
      <c r="J54" s="89">
        <f>IF(H54&gt;0,(H54*VLOOKUP(Lookups!$K$11,Lookups!$M$10:$P$43,4,0)/VLOOKUP(I54,Lookups!$M$10:$P$43,4,0)),"")</f>
        <v>6449.7759120802439</v>
      </c>
      <c r="K54" s="14"/>
      <c r="L54" s="15"/>
      <c r="M54" s="89" t="str">
        <f>IF(K54&gt;0,(K54*VLOOKUP(Lookups!$K$11,Lookups!$M$10:$P$43,4,0)/VLOOKUP(L54,Lookups!$M$10:$P$43,4,0)),"")</f>
        <v/>
      </c>
      <c r="N54" s="14"/>
      <c r="O54" s="15"/>
      <c r="P54" s="89" t="str">
        <f>IF(N54&gt;0,(N54*VLOOKUP(Lookups!$K$11,Lookups!$M$10:$P$43,4,0)/VLOOKUP(O54,Lookups!$M$10:$P$43,4,0)),"")</f>
        <v/>
      </c>
      <c r="Q54" s="143" t="s">
        <v>391</v>
      </c>
      <c r="R54" s="15" t="s">
        <v>149</v>
      </c>
      <c r="S54" s="12"/>
      <c r="T54" s="134"/>
      <c r="U54" s="4"/>
      <c r="V54"/>
      <c r="W54"/>
    </row>
    <row r="55" spans="1:23" s="36" customFormat="1" ht="60" customHeight="1" collapsed="1" x14ac:dyDescent="0.25">
      <c r="A55" s="38" t="s">
        <v>177</v>
      </c>
      <c r="B55" s="38" t="s">
        <v>224</v>
      </c>
      <c r="C55" s="38" t="s">
        <v>560</v>
      </c>
      <c r="D55" s="38" t="s">
        <v>846</v>
      </c>
      <c r="E55" s="12" t="s">
        <v>170</v>
      </c>
      <c r="F55" s="12" t="s">
        <v>632</v>
      </c>
      <c r="G55" s="12"/>
      <c r="H55" s="14">
        <v>593</v>
      </c>
      <c r="I55" s="15" t="s">
        <v>192</v>
      </c>
      <c r="J55" s="89">
        <f>IF(H55&gt;0,(H55*VLOOKUP(Lookups!$K$11,Lookups!$M$10:$P$43,4,0)/VLOOKUP(I55,Lookups!$M$10:$P$43,4,0)),"")</f>
        <v>826.47830492552998</v>
      </c>
      <c r="K55" s="14"/>
      <c r="L55" s="15"/>
      <c r="M55" s="89" t="str">
        <f>IF(K55&gt;0,(K55*VLOOKUP(Lookups!$K$11,Lookups!$M$10:$P$43,4,0)/VLOOKUP(L55,Lookups!$M$10:$P$43,4,0)),"")</f>
        <v/>
      </c>
      <c r="N55" s="14"/>
      <c r="O55" s="15"/>
      <c r="P55" s="89" t="str">
        <f>IF(N55&gt;0,(N55*VLOOKUP(Lookups!$K$11,Lookups!$M$10:$P$43,4,0)/VLOOKUP(O55,Lookups!$M$10:$P$43,4,0)),"")</f>
        <v/>
      </c>
      <c r="Q55" s="90" t="s">
        <v>2204</v>
      </c>
      <c r="R55" s="15" t="s">
        <v>149</v>
      </c>
      <c r="S55" s="12" t="s">
        <v>557</v>
      </c>
      <c r="T55" s="134"/>
      <c r="U55" s="4"/>
      <c r="V55"/>
      <c r="W55"/>
    </row>
    <row r="56" spans="1:23" s="36" customFormat="1" ht="60" hidden="1" customHeight="1" outlineLevel="1" x14ac:dyDescent="0.25">
      <c r="A56" s="42" t="s">
        <v>177</v>
      </c>
      <c r="B56" s="42" t="s">
        <v>224</v>
      </c>
      <c r="C56" s="42" t="s">
        <v>561</v>
      </c>
      <c r="D56" s="42" t="s">
        <v>128</v>
      </c>
      <c r="E56" s="12" t="s">
        <v>170</v>
      </c>
      <c r="F56" s="12" t="s">
        <v>632</v>
      </c>
      <c r="G56" s="12"/>
      <c r="H56" s="14">
        <v>285</v>
      </c>
      <c r="I56" s="15" t="s">
        <v>192</v>
      </c>
      <c r="J56" s="89">
        <f>IF(H56&gt;0,(H56*VLOOKUP(Lookups!$K$11,Lookups!$M$10:$P$43,4,0)/VLOOKUP(I56,Lookups!$M$10:$P$43,4,0)),"")</f>
        <v>397.21132698781798</v>
      </c>
      <c r="K56" s="14"/>
      <c r="L56" s="15"/>
      <c r="M56" s="89" t="str">
        <f>IF(K56&gt;0,(K56*VLOOKUP(Lookups!$K$11,Lookups!$M$10:$P$43,4,0)/VLOOKUP(L56,Lookups!$M$10:$P$43,4,0)),"")</f>
        <v/>
      </c>
      <c r="N56" s="14"/>
      <c r="O56" s="15"/>
      <c r="P56" s="89" t="str">
        <f>IF(N56&gt;0,(N56*VLOOKUP(Lookups!$K$11,Lookups!$M$10:$P$43,4,0)/VLOOKUP(O56,Lookups!$M$10:$P$43,4,0)),"")</f>
        <v/>
      </c>
      <c r="Q56" s="90" t="s">
        <v>2204</v>
      </c>
      <c r="R56" s="15" t="s">
        <v>149</v>
      </c>
      <c r="S56" s="12" t="s">
        <v>559</v>
      </c>
      <c r="T56" s="134"/>
      <c r="U56" s="4"/>
      <c r="V56"/>
      <c r="W56"/>
    </row>
    <row r="57" spans="1:23" s="36" customFormat="1" ht="59.25" customHeight="1" collapsed="1" x14ac:dyDescent="0.25">
      <c r="A57" s="38" t="s">
        <v>177</v>
      </c>
      <c r="B57" s="38" t="s">
        <v>713</v>
      </c>
      <c r="C57" s="38" t="s">
        <v>1009</v>
      </c>
      <c r="D57" s="38" t="s">
        <v>985</v>
      </c>
      <c r="E57" s="12" t="s">
        <v>170</v>
      </c>
      <c r="F57" s="12" t="s">
        <v>243</v>
      </c>
      <c r="G57" s="12"/>
      <c r="H57" s="14">
        <v>978.86</v>
      </c>
      <c r="I57" s="15" t="s">
        <v>258</v>
      </c>
      <c r="J57" s="89">
        <f>IF(H57&gt;0,(H57*VLOOKUP(Lookups!$K$11,Lookups!$M$10:$P$43,4,0)/VLOOKUP(I57,Lookups!$M$10:$P$43,4,0)),"")</f>
        <v>1132.4257892076469</v>
      </c>
      <c r="K57" s="14">
        <v>1110.57</v>
      </c>
      <c r="L57" s="15" t="s">
        <v>258</v>
      </c>
      <c r="M57" s="89">
        <f>IF(K57&gt;0,(K57*VLOOKUP(Lookups!$K$11,Lookups!$M$10:$P$43,4,0)/VLOOKUP(L57,Lookups!$M$10:$P$43,4,0)),"")</f>
        <v>1284.7987543881009</v>
      </c>
      <c r="N57" s="14">
        <v>1407.23</v>
      </c>
      <c r="O57" s="15" t="s">
        <v>258</v>
      </c>
      <c r="P57" s="89">
        <f>IF(N57&gt;0,(N57*VLOOKUP(Lookups!$K$11,Lookups!$M$10:$P$43,4,0)/VLOOKUP(O57,Lookups!$M$10:$P$43,4,0)),"")</f>
        <v>1627.9994517568159</v>
      </c>
      <c r="Q57" s="160" t="s">
        <v>1580</v>
      </c>
      <c r="R57" s="15" t="s">
        <v>152</v>
      </c>
      <c r="S57" s="4" t="s">
        <v>1719</v>
      </c>
      <c r="T57" s="134"/>
      <c r="U57" s="4"/>
      <c r="V57"/>
      <c r="W57"/>
    </row>
    <row r="58" spans="1:23" s="36" customFormat="1" ht="60" hidden="1" customHeight="1" outlineLevel="2" x14ac:dyDescent="0.25">
      <c r="A58" s="34" t="s">
        <v>177</v>
      </c>
      <c r="B58" s="34" t="s">
        <v>713</v>
      </c>
      <c r="C58" s="12" t="s">
        <v>1250</v>
      </c>
      <c r="D58" s="41" t="s">
        <v>876</v>
      </c>
      <c r="E58" s="12" t="s">
        <v>170</v>
      </c>
      <c r="F58" s="12" t="s">
        <v>632</v>
      </c>
      <c r="G58" s="12"/>
      <c r="H58" s="14">
        <v>296</v>
      </c>
      <c r="I58" s="15" t="s">
        <v>258</v>
      </c>
      <c r="J58" s="89">
        <f>IF(H58&gt;0,(H58*VLOOKUP(Lookups!$K$11,Lookups!$M$10:$P$43,4,0)/VLOOKUP(I58,Lookups!$M$10:$P$43,4,0)),"")</f>
        <v>342.437155063506</v>
      </c>
      <c r="K58" s="14"/>
      <c r="L58" s="15"/>
      <c r="M58" s="89" t="str">
        <f>IF(K58&gt;0,(K58*VLOOKUP(Lookups!$K$11,Lookups!$M$10:$P$43,4,0)/VLOOKUP(L58,Lookups!$M$10:$P$43,4,0)),"")</f>
        <v/>
      </c>
      <c r="N58" s="14"/>
      <c r="O58" s="15"/>
      <c r="P58" s="89" t="str">
        <f>IF(N58&gt;0,(N58*VLOOKUP(Lookups!$K$11,Lookups!$M$10:$P$43,4,0)/VLOOKUP(O58,Lookups!$M$10:$P$43,4,0)),"")</f>
        <v/>
      </c>
      <c r="Q58" s="160" t="s">
        <v>1580</v>
      </c>
      <c r="R58" s="15" t="s">
        <v>152</v>
      </c>
      <c r="S58" s="12"/>
      <c r="T58" s="134"/>
      <c r="U58" s="4"/>
      <c r="V58"/>
      <c r="W58"/>
    </row>
    <row r="59" spans="1:23" s="36" customFormat="1" ht="60" hidden="1" customHeight="1" outlineLevel="2" x14ac:dyDescent="0.25">
      <c r="A59" s="34" t="s">
        <v>177</v>
      </c>
      <c r="B59" s="34" t="s">
        <v>713</v>
      </c>
      <c r="C59" s="12" t="s">
        <v>1010</v>
      </c>
      <c r="D59" s="41" t="s">
        <v>877</v>
      </c>
      <c r="E59" s="12" t="s">
        <v>170</v>
      </c>
      <c r="F59" s="12" t="s">
        <v>199</v>
      </c>
      <c r="G59" s="12"/>
      <c r="H59" s="14">
        <v>46.74</v>
      </c>
      <c r="I59" s="15" t="s">
        <v>258</v>
      </c>
      <c r="J59" s="89">
        <f>IF(H59&gt;0,(H59*VLOOKUP(Lookups!$K$11,Lookups!$M$10:$P$43,4,0)/VLOOKUP(I59,Lookups!$M$10:$P$43,4,0)),"")</f>
        <v>54.072677796176592</v>
      </c>
      <c r="K59" s="14"/>
      <c r="L59" s="15"/>
      <c r="M59" s="89" t="str">
        <f>IF(K59&gt;0,(K59*VLOOKUP(Lookups!$K$11,Lookups!$M$10:$P$43,4,0)/VLOOKUP(L59,Lookups!$M$10:$P$43,4,0)),"")</f>
        <v/>
      </c>
      <c r="N59" s="14"/>
      <c r="O59" s="15"/>
      <c r="P59" s="89" t="str">
        <f>IF(N59&gt;0,(N59*VLOOKUP(Lookups!$K$11,Lookups!$M$10:$P$43,4,0)/VLOOKUP(O59,Lookups!$M$10:$P$43,4,0)),"")</f>
        <v/>
      </c>
      <c r="Q59" s="160" t="s">
        <v>1580</v>
      </c>
      <c r="R59" s="15" t="s">
        <v>152</v>
      </c>
      <c r="S59" s="12"/>
      <c r="T59" s="134"/>
      <c r="U59" s="4"/>
      <c r="V59"/>
      <c r="W59"/>
    </row>
    <row r="60" spans="1:23" s="36" customFormat="1" ht="60" hidden="1" customHeight="1" outlineLevel="2" x14ac:dyDescent="0.25">
      <c r="A60" s="34" t="s">
        <v>177</v>
      </c>
      <c r="B60" s="34" t="s">
        <v>713</v>
      </c>
      <c r="C60" s="12" t="s">
        <v>1011</v>
      </c>
      <c r="D60" s="41" t="s">
        <v>878</v>
      </c>
      <c r="E60" s="12" t="s">
        <v>170</v>
      </c>
      <c r="F60" s="12" t="s">
        <v>265</v>
      </c>
      <c r="G60" s="12" t="s">
        <v>696</v>
      </c>
      <c r="H60" s="14">
        <v>358.06</v>
      </c>
      <c r="I60" s="15" t="s">
        <v>258</v>
      </c>
      <c r="J60" s="89">
        <f>IF(H60&gt;0,(H60*VLOOKUP(Lookups!$K$11,Lookups!$M$10:$P$43,4,0)/VLOOKUP(I60,Lookups!$M$10:$P$43,4,0)),"")</f>
        <v>414.23326939878024</v>
      </c>
      <c r="K60" s="14"/>
      <c r="L60" s="15"/>
      <c r="M60" s="89" t="str">
        <f>IF(K60&gt;0,(K60*VLOOKUP(Lookups!$K$11,Lookups!$M$10:$P$43,4,0)/VLOOKUP(L60,Lookups!$M$10:$P$43,4,0)),"")</f>
        <v/>
      </c>
      <c r="N60" s="14"/>
      <c r="O60" s="15"/>
      <c r="P60" s="89" t="str">
        <f>IF(N60&gt;0,(N60*VLOOKUP(Lookups!$K$11,Lookups!$M$10:$P$43,4,0)/VLOOKUP(O60,Lookups!$M$10:$P$43,4,0)),"")</f>
        <v/>
      </c>
      <c r="Q60" s="160" t="s">
        <v>1580</v>
      </c>
      <c r="R60" s="15" t="s">
        <v>152</v>
      </c>
      <c r="S60" s="12"/>
      <c r="T60" s="134"/>
      <c r="U60" s="4"/>
      <c r="V60"/>
      <c r="W60"/>
    </row>
    <row r="61" spans="1:23" s="36" customFormat="1" ht="60" hidden="1" customHeight="1" outlineLevel="2" x14ac:dyDescent="0.25">
      <c r="A61" s="34" t="s">
        <v>177</v>
      </c>
      <c r="B61" s="34" t="s">
        <v>713</v>
      </c>
      <c r="C61" s="12" t="s">
        <v>1012</v>
      </c>
      <c r="D61" s="41" t="s">
        <v>968</v>
      </c>
      <c r="E61" s="12" t="s">
        <v>170</v>
      </c>
      <c r="F61" s="12" t="s">
        <v>205</v>
      </c>
      <c r="G61" s="12"/>
      <c r="H61" s="14">
        <v>75.75</v>
      </c>
      <c r="I61" s="15" t="s">
        <v>258</v>
      </c>
      <c r="J61" s="89">
        <f>IF(H61&gt;0,(H61*VLOOKUP(Lookups!$K$11,Lookups!$M$10:$P$43,4,0)/VLOOKUP(I61,Lookups!$M$10:$P$43,4,0)),"")</f>
        <v>87.633832756961425</v>
      </c>
      <c r="K61" s="14"/>
      <c r="L61" s="15"/>
      <c r="M61" s="89" t="str">
        <f>IF(K61&gt;0,(K61*VLOOKUP(Lookups!$K$11,Lookups!$M$10:$P$43,4,0)/VLOOKUP(L61,Lookups!$M$10:$P$43,4,0)),"")</f>
        <v/>
      </c>
      <c r="N61" s="14"/>
      <c r="O61" s="15"/>
      <c r="P61" s="89" t="str">
        <f>IF(N61&gt;0,(N61*VLOOKUP(Lookups!$K$11,Lookups!$M$10:$P$43,4,0)/VLOOKUP(O61,Lookups!$M$10:$P$43,4,0)),"")</f>
        <v/>
      </c>
      <c r="Q61" s="160" t="s">
        <v>1580</v>
      </c>
      <c r="R61" s="15" t="s">
        <v>152</v>
      </c>
      <c r="S61" s="12"/>
      <c r="T61" s="134"/>
      <c r="U61" s="4"/>
      <c r="V61"/>
      <c r="W61"/>
    </row>
    <row r="62" spans="1:23" s="36" customFormat="1" ht="60" hidden="1" customHeight="1" outlineLevel="2" x14ac:dyDescent="0.25">
      <c r="A62" s="34" t="s">
        <v>177</v>
      </c>
      <c r="B62" s="34" t="s">
        <v>713</v>
      </c>
      <c r="C62" s="12" t="s">
        <v>1013</v>
      </c>
      <c r="D62" s="41" t="s">
        <v>969</v>
      </c>
      <c r="E62" s="12" t="s">
        <v>170</v>
      </c>
      <c r="F62" s="12" t="s">
        <v>243</v>
      </c>
      <c r="G62" s="12"/>
      <c r="H62" s="14">
        <v>28.88</v>
      </c>
      <c r="I62" s="15" t="s">
        <v>258</v>
      </c>
      <c r="J62" s="89">
        <f>IF(H62&gt;0,(H62*VLOOKUP(Lookups!$K$11,Lookups!$M$10:$P$43,4,0)/VLOOKUP(I62,Lookups!$M$10:$P$43,4,0)),"")</f>
        <v>33.410760264304237</v>
      </c>
      <c r="K62" s="14"/>
      <c r="L62" s="15"/>
      <c r="M62" s="89" t="str">
        <f>IF(K62&gt;0,(K62*VLOOKUP(Lookups!$K$11,Lookups!$M$10:$P$43,4,0)/VLOOKUP(L62,Lookups!$M$10:$P$43,4,0)),"")</f>
        <v/>
      </c>
      <c r="N62" s="14"/>
      <c r="O62" s="15"/>
      <c r="P62" s="89" t="str">
        <f>IF(N62&gt;0,(N62*VLOOKUP(Lookups!$K$11,Lookups!$M$10:$P$43,4,0)/VLOOKUP(O62,Lookups!$M$10:$P$43,4,0)),"")</f>
        <v/>
      </c>
      <c r="Q62" s="160" t="s">
        <v>1580</v>
      </c>
      <c r="R62" s="15" t="s">
        <v>152</v>
      </c>
      <c r="S62" s="12"/>
      <c r="T62" s="134"/>
      <c r="U62" s="4"/>
      <c r="V62"/>
      <c r="W62"/>
    </row>
    <row r="63" spans="1:23" s="36" customFormat="1" ht="60" hidden="1" customHeight="1" outlineLevel="2" x14ac:dyDescent="0.25">
      <c r="A63" s="34" t="s">
        <v>177</v>
      </c>
      <c r="B63" s="34" t="s">
        <v>713</v>
      </c>
      <c r="C63" s="12" t="s">
        <v>1014</v>
      </c>
      <c r="D63" s="41" t="s">
        <v>970</v>
      </c>
      <c r="E63" s="12" t="s">
        <v>170</v>
      </c>
      <c r="F63" s="12" t="s">
        <v>162</v>
      </c>
      <c r="G63" s="12"/>
      <c r="H63" s="14">
        <v>174.06</v>
      </c>
      <c r="I63" s="15" t="s">
        <v>258</v>
      </c>
      <c r="J63" s="89">
        <f>IF(H63&gt;0,(H63*VLOOKUP(Lookups!$K$11,Lookups!$M$10:$P$43,4,0)/VLOOKUP(I63,Lookups!$M$10:$P$43,4,0)),"")</f>
        <v>201.36692976470894</v>
      </c>
      <c r="K63" s="14"/>
      <c r="L63" s="15"/>
      <c r="M63" s="89" t="str">
        <f>IF(K63&gt;0,(K63*VLOOKUP(Lookups!$K$11,Lookups!$M$10:$P$43,4,0)/VLOOKUP(L63,Lookups!$M$10:$P$43,4,0)),"")</f>
        <v/>
      </c>
      <c r="N63" s="14"/>
      <c r="O63" s="15"/>
      <c r="P63" s="89" t="str">
        <f>IF(N63&gt;0,(N63*VLOOKUP(Lookups!$K$11,Lookups!$M$10:$P$43,4,0)/VLOOKUP(O63,Lookups!$M$10:$P$43,4,0)),"")</f>
        <v/>
      </c>
      <c r="Q63" s="160" t="s">
        <v>1580</v>
      </c>
      <c r="R63" s="15" t="s">
        <v>152</v>
      </c>
      <c r="S63" s="12"/>
      <c r="T63" s="134"/>
      <c r="U63" s="4"/>
      <c r="V63"/>
      <c r="W63"/>
    </row>
    <row r="64" spans="1:23" s="36" customFormat="1" ht="60" hidden="1" customHeight="1" outlineLevel="2" x14ac:dyDescent="0.25">
      <c r="A64" s="34" t="s">
        <v>177</v>
      </c>
      <c r="B64" s="34" t="s">
        <v>713</v>
      </c>
      <c r="C64" s="12" t="s">
        <v>1014</v>
      </c>
      <c r="D64" s="41" t="s">
        <v>1718</v>
      </c>
      <c r="E64" s="12" t="s">
        <v>170</v>
      </c>
      <c r="F64" s="12" t="s">
        <v>1572</v>
      </c>
      <c r="G64" s="12"/>
      <c r="H64" s="14">
        <v>1.95</v>
      </c>
      <c r="I64" s="15" t="s">
        <v>258</v>
      </c>
      <c r="J64" s="89">
        <f>IF(H64&gt;0,(H64*VLOOKUP(Lookups!$K$11,Lookups!$M$10:$P$43,4,0)/VLOOKUP(I64,Lookups!$M$10:$P$43,4,0)),"")</f>
        <v>2.2559204472089078</v>
      </c>
      <c r="K64" s="14"/>
      <c r="L64" s="15"/>
      <c r="M64" s="89" t="str">
        <f>IF(K64&gt;0,(K64*VLOOKUP(Lookups!$K$11,Lookups!$M$10:$P$43,4,0)/VLOOKUP(L64,Lookups!$M$10:$P$43,4,0)),"")</f>
        <v/>
      </c>
      <c r="N64" s="14"/>
      <c r="O64" s="15"/>
      <c r="P64" s="89" t="str">
        <f>IF(N64&gt;0,(N64*VLOOKUP(Lookups!$K$11,Lookups!$M$10:$P$43,4,0)/VLOOKUP(O64,Lookups!$M$10:$P$43,4,0)),"")</f>
        <v/>
      </c>
      <c r="Q64" s="160" t="s">
        <v>1580</v>
      </c>
      <c r="R64" s="15" t="s">
        <v>152</v>
      </c>
      <c r="S64" s="12"/>
      <c r="T64" s="134"/>
      <c r="U64" s="4"/>
      <c r="V64"/>
      <c r="W64"/>
    </row>
    <row r="65" spans="1:23" s="36" customFormat="1" ht="60" hidden="1" customHeight="1" outlineLevel="1" collapsed="1" x14ac:dyDescent="0.25">
      <c r="A65" s="42" t="s">
        <v>177</v>
      </c>
      <c r="B65" s="42" t="s">
        <v>222</v>
      </c>
      <c r="C65" s="42" t="s">
        <v>1015</v>
      </c>
      <c r="D65" s="42" t="s">
        <v>987</v>
      </c>
      <c r="E65" s="12" t="s">
        <v>170</v>
      </c>
      <c r="F65" s="12" t="s">
        <v>243</v>
      </c>
      <c r="G65" s="12"/>
      <c r="H65" s="14">
        <v>819530</v>
      </c>
      <c r="I65" s="15" t="s">
        <v>258</v>
      </c>
      <c r="J65" s="89">
        <f>IF(H65&gt;0,(H65*VLOOKUP(Lookups!$K$11,Lookups!$M$10:$P$43,4,0)/VLOOKUP(I65,Lookups!$M$10:$P$43,4,0)),"")</f>
        <v>948099.7354364699</v>
      </c>
      <c r="K65" s="14">
        <v>315780</v>
      </c>
      <c r="L65" s="15" t="s">
        <v>258</v>
      </c>
      <c r="M65" s="89">
        <f>IF(K65&gt;0,(K65*VLOOKUP(Lookups!$K$11,Lookups!$M$10:$P$43,4,0)/VLOOKUP(L65,Lookups!$M$10:$P$43,4,0)),"")</f>
        <v>365320.28657416865</v>
      </c>
      <c r="N65" s="14">
        <v>2082430</v>
      </c>
      <c r="O65" s="15" t="s">
        <v>258</v>
      </c>
      <c r="P65" s="89">
        <f>IF(N65&gt;0,(N65*VLOOKUP(Lookups!$K$11,Lookups!$M$10:$P$43,4,0)/VLOOKUP(O65,Lookups!$M$10:$P$43,4,0)),"")</f>
        <v>2409126.3676314084</v>
      </c>
      <c r="Q65" s="160" t="s">
        <v>1580</v>
      </c>
      <c r="R65" s="15" t="s">
        <v>152</v>
      </c>
      <c r="S65" s="12" t="s">
        <v>62</v>
      </c>
      <c r="T65" s="134"/>
      <c r="U65" s="4"/>
      <c r="V65"/>
      <c r="W65"/>
    </row>
    <row r="66" spans="1:23" s="36" customFormat="1" ht="60" hidden="1" customHeight="1" outlineLevel="2" x14ac:dyDescent="0.25">
      <c r="A66" s="34" t="s">
        <v>177</v>
      </c>
      <c r="B66" s="34" t="s">
        <v>222</v>
      </c>
      <c r="C66" s="34" t="s">
        <v>1016</v>
      </c>
      <c r="D66" s="41" t="s">
        <v>971</v>
      </c>
      <c r="E66" s="12" t="s">
        <v>170</v>
      </c>
      <c r="F66" s="12" t="s">
        <v>632</v>
      </c>
      <c r="G66" s="12"/>
      <c r="H66" s="14">
        <v>11960</v>
      </c>
      <c r="I66" s="15" t="s">
        <v>258</v>
      </c>
      <c r="J66" s="89">
        <f>IF(H66&gt;0,(H66*VLOOKUP(Lookups!$K$11,Lookups!$M$10:$P$43,4,0)/VLOOKUP(I66,Lookups!$M$10:$P$43,4,0)),"")</f>
        <v>13836.312076214634</v>
      </c>
      <c r="K66" s="14"/>
      <c r="L66" s="15"/>
      <c r="M66" s="89" t="str">
        <f>IF(K66&gt;0,(K66*VLOOKUP(Lookups!$K$11,Lookups!$M$10:$P$43,4,0)/VLOOKUP(L66,Lookups!$M$10:$P$43,4,0)),"")</f>
        <v/>
      </c>
      <c r="N66" s="14"/>
      <c r="O66" s="15"/>
      <c r="P66" s="89" t="str">
        <f>IF(N66&gt;0,(N66*VLOOKUP(Lookups!$K$11,Lookups!$M$10:$P$43,4,0)/VLOOKUP(O66,Lookups!$M$10:$P$43,4,0)),"")</f>
        <v/>
      </c>
      <c r="Q66" s="160" t="s">
        <v>1580</v>
      </c>
      <c r="R66" s="15" t="s">
        <v>152</v>
      </c>
      <c r="S66" s="12"/>
      <c r="T66" s="134"/>
      <c r="U66" s="4"/>
      <c r="V66"/>
      <c r="W66"/>
    </row>
    <row r="67" spans="1:23" s="36" customFormat="1" ht="60" hidden="1" customHeight="1" outlineLevel="2" x14ac:dyDescent="0.25">
      <c r="A67" s="34" t="s">
        <v>177</v>
      </c>
      <c r="B67" s="34" t="s">
        <v>222</v>
      </c>
      <c r="C67" s="34" t="s">
        <v>1017</v>
      </c>
      <c r="D67" s="41" t="s">
        <v>980</v>
      </c>
      <c r="E67" s="12" t="s">
        <v>170</v>
      </c>
      <c r="F67" s="12" t="s">
        <v>199</v>
      </c>
      <c r="G67" s="12"/>
      <c r="H67" s="14">
        <v>35930</v>
      </c>
      <c r="I67" s="15" t="s">
        <v>258</v>
      </c>
      <c r="J67" s="89">
        <f>IF(H67&gt;0,(H67*VLOOKUP(Lookups!$K$11,Lookups!$M$10:$P$43,4,0)/VLOOKUP(I67,Lookups!$M$10:$P$43,4,0)),"")</f>
        <v>41566.780342674901</v>
      </c>
      <c r="K67" s="14"/>
      <c r="L67" s="15"/>
      <c r="M67" s="89" t="str">
        <f>IF(K67&gt;0,(K67*VLOOKUP(Lookups!$K$11,Lookups!$M$10:$P$43,4,0)/VLOOKUP(L67,Lookups!$M$10:$P$43,4,0)),"")</f>
        <v/>
      </c>
      <c r="N67" s="14"/>
      <c r="O67" s="15"/>
      <c r="P67" s="89" t="str">
        <f>IF(N67&gt;0,(N67*VLOOKUP(Lookups!$K$11,Lookups!$M$10:$P$43,4,0)/VLOOKUP(O67,Lookups!$M$10:$P$43,4,0)),"")</f>
        <v/>
      </c>
      <c r="Q67" s="160" t="s">
        <v>1580</v>
      </c>
      <c r="R67" s="15" t="s">
        <v>152</v>
      </c>
      <c r="S67" s="12"/>
      <c r="T67" s="134"/>
      <c r="U67" s="4"/>
      <c r="V67"/>
      <c r="W67"/>
    </row>
    <row r="68" spans="1:23" s="36" customFormat="1" ht="60" hidden="1" customHeight="1" outlineLevel="2" x14ac:dyDescent="0.25">
      <c r="A68" s="34" t="s">
        <v>177</v>
      </c>
      <c r="B68" s="34" t="s">
        <v>222</v>
      </c>
      <c r="C68" s="34" t="s">
        <v>1018</v>
      </c>
      <c r="D68" s="41" t="s">
        <v>979</v>
      </c>
      <c r="E68" s="12" t="s">
        <v>170</v>
      </c>
      <c r="F68" s="12" t="s">
        <v>265</v>
      </c>
      <c r="G68" s="12" t="s">
        <v>696</v>
      </c>
      <c r="H68" s="14">
        <f>6510+206070+22640+450+13310+149260</f>
        <v>398240</v>
      </c>
      <c r="I68" s="15" t="s">
        <v>258</v>
      </c>
      <c r="J68" s="89">
        <f>IF(H68&gt;0,(H68*VLOOKUP(Lookups!$K$11,Lookups!$M$10:$P$43,4,0)/VLOOKUP(I68,Lookups!$M$10:$P$43,4,0)),"")</f>
        <v>460716.79943408997</v>
      </c>
      <c r="K68" s="14"/>
      <c r="L68" s="15"/>
      <c r="M68" s="89" t="str">
        <f>IF(K68&gt;0,(K68*VLOOKUP(Lookups!$K$11,Lookups!$M$10:$P$43,4,0)/VLOOKUP(L68,Lookups!$M$10:$P$43,4,0)),"")</f>
        <v/>
      </c>
      <c r="N68" s="14"/>
      <c r="O68" s="15"/>
      <c r="P68" s="89" t="str">
        <f>IF(N68&gt;0,(N68*VLOOKUP(Lookups!$K$11,Lookups!$M$10:$P$43,4,0)/VLOOKUP(O68,Lookups!$M$10:$P$43,4,0)),"")</f>
        <v/>
      </c>
      <c r="Q68" s="160" t="s">
        <v>1580</v>
      </c>
      <c r="R68" s="15" t="s">
        <v>152</v>
      </c>
      <c r="S68" s="12"/>
      <c r="T68" s="134"/>
      <c r="U68" s="4"/>
      <c r="V68"/>
      <c r="W68"/>
    </row>
    <row r="69" spans="1:23" s="36" customFormat="1" ht="60" hidden="1" customHeight="1" outlineLevel="2" x14ac:dyDescent="0.25">
      <c r="A69" s="34" t="s">
        <v>177</v>
      </c>
      <c r="B69" s="34" t="s">
        <v>222</v>
      </c>
      <c r="C69" s="34" t="s">
        <v>1019</v>
      </c>
      <c r="D69" s="41" t="s">
        <v>892</v>
      </c>
      <c r="E69" s="12" t="s">
        <v>170</v>
      </c>
      <c r="F69" s="12" t="s">
        <v>205</v>
      </c>
      <c r="G69" s="12"/>
      <c r="H69" s="14">
        <v>318240</v>
      </c>
      <c r="I69" s="15" t="s">
        <v>258</v>
      </c>
      <c r="J69" s="89">
        <f>IF(H69&gt;0,(H69*VLOOKUP(Lookups!$K$11,Lookups!$M$10:$P$43,4,0)/VLOOKUP(I69,Lookups!$M$10:$P$43,4,0)),"")</f>
        <v>368166.21698449377</v>
      </c>
      <c r="K69" s="14"/>
      <c r="L69" s="15"/>
      <c r="M69" s="89" t="str">
        <f>IF(K69&gt;0,(K69*VLOOKUP(Lookups!$K$11,Lookups!$M$10:$P$43,4,0)/VLOOKUP(L69,Lookups!$M$10:$P$43,4,0)),"")</f>
        <v/>
      </c>
      <c r="N69" s="14"/>
      <c r="O69" s="15"/>
      <c r="P69" s="89" t="str">
        <f>IF(N69&gt;0,(N69*VLOOKUP(Lookups!$K$11,Lookups!$M$10:$P$43,4,0)/VLOOKUP(O69,Lookups!$M$10:$P$43,4,0)),"")</f>
        <v/>
      </c>
      <c r="Q69" s="160" t="s">
        <v>1580</v>
      </c>
      <c r="R69" s="15" t="s">
        <v>152</v>
      </c>
      <c r="S69" s="12"/>
      <c r="T69" s="134"/>
      <c r="U69" s="4"/>
      <c r="V69"/>
      <c r="W69"/>
    </row>
    <row r="70" spans="1:23" s="36" customFormat="1" ht="60" hidden="1" customHeight="1" outlineLevel="2" x14ac:dyDescent="0.25">
      <c r="A70" s="34" t="s">
        <v>177</v>
      </c>
      <c r="B70" s="34" t="s">
        <v>222</v>
      </c>
      <c r="C70" s="34" t="s">
        <v>1020</v>
      </c>
      <c r="D70" s="41" t="s">
        <v>836</v>
      </c>
      <c r="E70" s="12" t="s">
        <v>170</v>
      </c>
      <c r="F70" s="12" t="s">
        <v>243</v>
      </c>
      <c r="G70" s="12"/>
      <c r="H70" s="14">
        <f>45470+3090</f>
        <v>48560</v>
      </c>
      <c r="I70" s="15" t="s">
        <v>258</v>
      </c>
      <c r="J70" s="89">
        <f>IF(H70&gt;0,(H70*VLOOKUP(Lookups!$K$11,Lookups!$M$10:$P$43,4,0)/VLOOKUP(I70,Lookups!$M$10:$P$43,4,0)),"")</f>
        <v>56178.203546904908</v>
      </c>
      <c r="K70" s="14"/>
      <c r="L70" s="15"/>
      <c r="M70" s="89" t="str">
        <f>IF(K70&gt;0,(K70*VLOOKUP(Lookups!$K$11,Lookups!$M$10:$P$43,4,0)/VLOOKUP(L70,Lookups!$M$10:$P$43,4,0)),"")</f>
        <v/>
      </c>
      <c r="N70" s="14"/>
      <c r="O70" s="15"/>
      <c r="P70" s="89" t="str">
        <f>IF(N70&gt;0,(N70*VLOOKUP(Lookups!$K$11,Lookups!$M$10:$P$43,4,0)/VLOOKUP(O70,Lookups!$M$10:$P$43,4,0)),"")</f>
        <v/>
      </c>
      <c r="Q70" s="160" t="s">
        <v>1580</v>
      </c>
      <c r="R70" s="15" t="s">
        <v>152</v>
      </c>
      <c r="S70" s="12"/>
      <c r="T70" s="134"/>
      <c r="U70" s="4"/>
      <c r="V70"/>
      <c r="W70"/>
    </row>
    <row r="71" spans="1:23" s="36" customFormat="1" ht="60" hidden="1" customHeight="1" outlineLevel="2" x14ac:dyDescent="0.25">
      <c r="A71" s="34" t="s">
        <v>177</v>
      </c>
      <c r="B71" s="34" t="s">
        <v>222</v>
      </c>
      <c r="C71" s="34" t="s">
        <v>1021</v>
      </c>
      <c r="D71" s="41" t="s">
        <v>972</v>
      </c>
      <c r="E71" s="12" t="s">
        <v>170</v>
      </c>
      <c r="F71" s="12" t="s">
        <v>162</v>
      </c>
      <c r="G71" s="12"/>
      <c r="H71" s="14">
        <v>1110</v>
      </c>
      <c r="I71" s="15" t="s">
        <v>258</v>
      </c>
      <c r="J71" s="89">
        <f>IF(H71&gt;0,(H71*VLOOKUP(Lookups!$K$11,Lookups!$M$10:$P$43,4,0)/VLOOKUP(I71,Lookups!$M$10:$P$43,4,0)),"")</f>
        <v>1284.1393314881475</v>
      </c>
      <c r="K71" s="14"/>
      <c r="L71" s="15"/>
      <c r="M71" s="89" t="str">
        <f>IF(K71&gt;0,(K71*VLOOKUP(Lookups!$K$11,Lookups!$M$10:$P$43,4,0)/VLOOKUP(L71,Lookups!$M$10:$P$43,4,0)),"")</f>
        <v/>
      </c>
      <c r="N71" s="14"/>
      <c r="O71" s="15"/>
      <c r="P71" s="89" t="str">
        <f>IF(N71&gt;0,(N71*VLOOKUP(Lookups!$K$11,Lookups!$M$10:$P$43,4,0)/VLOOKUP(O71,Lookups!$M$10:$P$43,4,0)),"")</f>
        <v/>
      </c>
      <c r="Q71" s="160" t="s">
        <v>1580</v>
      </c>
      <c r="R71" s="15" t="s">
        <v>152</v>
      </c>
      <c r="S71" s="12"/>
      <c r="T71" s="134"/>
      <c r="U71" s="4"/>
      <c r="V71"/>
      <c r="W71"/>
    </row>
    <row r="72" spans="1:23" s="36" customFormat="1" ht="60" hidden="1" customHeight="1" outlineLevel="2" x14ac:dyDescent="0.25">
      <c r="A72" s="34" t="s">
        <v>177</v>
      </c>
      <c r="B72" s="34" t="s">
        <v>222</v>
      </c>
      <c r="C72" s="34" t="s">
        <v>1570</v>
      </c>
      <c r="D72" s="41" t="s">
        <v>1571</v>
      </c>
      <c r="E72" s="12" t="s">
        <v>170</v>
      </c>
      <c r="F72" s="12" t="s">
        <v>1572</v>
      </c>
      <c r="G72" s="12"/>
      <c r="H72" s="14">
        <v>5480</v>
      </c>
      <c r="I72" s="15" t="s">
        <v>258</v>
      </c>
      <c r="J72" s="89">
        <f>IF(H72&gt;0,(H72*VLOOKUP(Lookups!$K$11,Lookups!$M$10:$P$43,4,0)/VLOOKUP(I72,Lookups!$M$10:$P$43,4,0)),"")</f>
        <v>6339.7148977973411</v>
      </c>
      <c r="K72" s="14"/>
      <c r="L72" s="15"/>
      <c r="M72" s="89" t="str">
        <f>IF(K72&gt;0,(K72*VLOOKUP(Lookups!$K$11,Lookups!$M$10:$P$43,4,0)/VLOOKUP(L72,Lookups!$M$10:$P$43,4,0)),"")</f>
        <v/>
      </c>
      <c r="N72" s="14"/>
      <c r="O72" s="15"/>
      <c r="P72" s="89" t="str">
        <f>IF(N72&gt;0,(N72*VLOOKUP(Lookups!$K$11,Lookups!$M$10:$P$43,4,0)/VLOOKUP(O72,Lookups!$M$10:$P$43,4,0)),"")</f>
        <v/>
      </c>
      <c r="Q72" s="160" t="s">
        <v>1580</v>
      </c>
      <c r="R72" s="15" t="s">
        <v>152</v>
      </c>
      <c r="S72" s="12"/>
      <c r="T72" s="134"/>
      <c r="U72" s="4"/>
      <c r="V72"/>
      <c r="W72"/>
    </row>
    <row r="73" spans="1:23" s="36" customFormat="1" ht="60" hidden="1" customHeight="1" outlineLevel="1" collapsed="1" x14ac:dyDescent="0.25">
      <c r="A73" s="42" t="s">
        <v>177</v>
      </c>
      <c r="B73" s="42" t="s">
        <v>222</v>
      </c>
      <c r="C73" s="42" t="s">
        <v>1022</v>
      </c>
      <c r="D73" s="42" t="s">
        <v>1574</v>
      </c>
      <c r="E73" s="12" t="s">
        <v>170</v>
      </c>
      <c r="F73" s="12" t="s">
        <v>243</v>
      </c>
      <c r="G73" s="12"/>
      <c r="H73" s="14">
        <v>3420</v>
      </c>
      <c r="I73" s="15" t="s">
        <v>258</v>
      </c>
      <c r="J73" s="89">
        <f>IF(H73&gt;0,(H73*VLOOKUP(Lookups!$K$11,Lookups!$M$10:$P$43,4,0)/VLOOKUP(I73,Lookups!$M$10:$P$43,4,0)),"")</f>
        <v>3956.5373997202382</v>
      </c>
      <c r="K73" s="14">
        <v>2400</v>
      </c>
      <c r="L73" s="15" t="s">
        <v>258</v>
      </c>
      <c r="M73" s="89">
        <f>IF(K73&gt;0,(K73*VLOOKUP(Lookups!$K$11,Lookups!$M$10:$P$43,4,0)/VLOOKUP(L73,Lookups!$M$10:$P$43,4,0)),"")</f>
        <v>2776.5174734878865</v>
      </c>
      <c r="N73" s="14">
        <v>8240</v>
      </c>
      <c r="O73" s="15" t="s">
        <v>258</v>
      </c>
      <c r="P73" s="89">
        <f>IF(N73&gt;0,(N73*VLOOKUP(Lookups!$K$11,Lookups!$M$10:$P$43,4,0)/VLOOKUP(O73,Lookups!$M$10:$P$43,4,0)),"")</f>
        <v>9532.7099923084115</v>
      </c>
      <c r="Q73" s="160" t="s">
        <v>1580</v>
      </c>
      <c r="R73" s="15" t="s">
        <v>152</v>
      </c>
      <c r="S73" s="4" t="s">
        <v>1676</v>
      </c>
      <c r="T73" s="134"/>
      <c r="U73" s="4"/>
      <c r="V73"/>
      <c r="W73"/>
    </row>
    <row r="74" spans="1:23" s="36" customFormat="1" ht="60" hidden="1" customHeight="1" outlineLevel="2" x14ac:dyDescent="0.25">
      <c r="A74" s="34" t="s">
        <v>177</v>
      </c>
      <c r="B74" s="34" t="s">
        <v>222</v>
      </c>
      <c r="C74" s="34" t="s">
        <v>1023</v>
      </c>
      <c r="D74" s="41" t="s">
        <v>1573</v>
      </c>
      <c r="E74" s="12" t="s">
        <v>170</v>
      </c>
      <c r="F74" s="12" t="s">
        <v>632</v>
      </c>
      <c r="G74" s="12" t="s">
        <v>216</v>
      </c>
      <c r="H74" s="14">
        <v>1130</v>
      </c>
      <c r="I74" s="15" t="s">
        <v>258</v>
      </c>
      <c r="J74" s="89">
        <f>IF(H74&gt;0,(H74*VLOOKUP(Lookups!$K$11,Lookups!$M$10:$P$43,4,0)/VLOOKUP(I74,Lookups!$M$10:$P$43,4,0)),"")</f>
        <v>1307.2769771005464</v>
      </c>
      <c r="K74" s="14"/>
      <c r="L74" s="15"/>
      <c r="M74" s="89" t="str">
        <f>IF(K74&gt;0,(K74*VLOOKUP(Lookups!$K$11,Lookups!$M$10:$P$43,4,0)/VLOOKUP(L74,Lookups!$M$10:$P$43,4,0)),"")</f>
        <v/>
      </c>
      <c r="N74" s="14"/>
      <c r="O74" s="15"/>
      <c r="P74" s="89" t="str">
        <f>IF(N74&gt;0,(N74*VLOOKUP(Lookups!$K$11,Lookups!$M$10:$P$43,4,0)/VLOOKUP(O74,Lookups!$M$10:$P$43,4,0)),"")</f>
        <v/>
      </c>
      <c r="Q74" s="160" t="s">
        <v>1580</v>
      </c>
      <c r="R74" s="15" t="s">
        <v>152</v>
      </c>
      <c r="S74" s="118"/>
      <c r="T74" s="134"/>
      <c r="U74" s="4"/>
      <c r="V74"/>
      <c r="W74"/>
    </row>
    <row r="75" spans="1:23" s="36" customFormat="1" ht="60" hidden="1" customHeight="1" outlineLevel="2" x14ac:dyDescent="0.25">
      <c r="A75" s="34" t="s">
        <v>177</v>
      </c>
      <c r="B75" s="34" t="s">
        <v>222</v>
      </c>
      <c r="C75" s="34" t="s">
        <v>1024</v>
      </c>
      <c r="D75" s="41" t="s">
        <v>1575</v>
      </c>
      <c r="E75" s="12" t="s">
        <v>170</v>
      </c>
      <c r="F75" s="12" t="s">
        <v>199</v>
      </c>
      <c r="G75" s="12"/>
      <c r="H75" s="14">
        <v>60</v>
      </c>
      <c r="I75" s="15" t="s">
        <v>258</v>
      </c>
      <c r="J75" s="89">
        <f>IF(H75&gt;0,(H75*VLOOKUP(Lookups!$K$11,Lookups!$M$10:$P$43,4,0)/VLOOKUP(I75,Lookups!$M$10:$P$43,4,0)),"")</f>
        <v>69.412936837197165</v>
      </c>
      <c r="K75" s="14"/>
      <c r="L75" s="15"/>
      <c r="M75" s="89" t="str">
        <f>IF(K75&gt;0,(K75*VLOOKUP(Lookups!$K$11,Lookups!$M$10:$P$43,4,0)/VLOOKUP(L75,Lookups!$M$10:$P$43,4,0)),"")</f>
        <v/>
      </c>
      <c r="N75" s="14"/>
      <c r="O75" s="15"/>
      <c r="P75" s="89" t="str">
        <f>IF(N75&gt;0,(N75*VLOOKUP(Lookups!$K$11,Lookups!$M$10:$P$43,4,0)/VLOOKUP(O75,Lookups!$M$10:$P$43,4,0)),"")</f>
        <v/>
      </c>
      <c r="Q75" s="160" t="s">
        <v>1580</v>
      </c>
      <c r="R75" s="15" t="s">
        <v>152</v>
      </c>
      <c r="S75" s="118"/>
      <c r="T75" s="134"/>
      <c r="U75" s="4"/>
      <c r="V75"/>
      <c r="W75"/>
    </row>
    <row r="76" spans="1:23" s="36" customFormat="1" ht="60" hidden="1" customHeight="1" outlineLevel="2" x14ac:dyDescent="0.25">
      <c r="A76" s="34" t="s">
        <v>177</v>
      </c>
      <c r="B76" s="34" t="s">
        <v>222</v>
      </c>
      <c r="C76" s="34" t="s">
        <v>1025</v>
      </c>
      <c r="D76" s="41" t="s">
        <v>1576</v>
      </c>
      <c r="E76" s="12" t="s">
        <v>170</v>
      </c>
      <c r="F76" s="12" t="s">
        <v>265</v>
      </c>
      <c r="G76" s="12" t="s">
        <v>696</v>
      </c>
      <c r="H76" s="14">
        <f>30+920+40+10+60+30</f>
        <v>1090</v>
      </c>
      <c r="I76" s="15" t="s">
        <v>258</v>
      </c>
      <c r="J76" s="89">
        <f>IF(H76&gt;0,(H76*VLOOKUP(Lookups!$K$11,Lookups!$M$10:$P$43,4,0)/VLOOKUP(I76,Lookups!$M$10:$P$43,4,0)),"")</f>
        <v>1261.0016858757483</v>
      </c>
      <c r="K76" s="14"/>
      <c r="L76" s="15"/>
      <c r="M76" s="89" t="str">
        <f>IF(K76&gt;0,(K76*VLOOKUP(Lookups!$K$11,Lookups!$M$10:$P$43,4,0)/VLOOKUP(L76,Lookups!$M$10:$P$43,4,0)),"")</f>
        <v/>
      </c>
      <c r="N76" s="14"/>
      <c r="O76" s="15"/>
      <c r="P76" s="89" t="str">
        <f>IF(N76&gt;0,(N76*VLOOKUP(Lookups!$K$11,Lookups!$M$10:$P$43,4,0)/VLOOKUP(O76,Lookups!$M$10:$P$43,4,0)),"")</f>
        <v/>
      </c>
      <c r="Q76" s="160" t="s">
        <v>1580</v>
      </c>
      <c r="R76" s="15" t="s">
        <v>152</v>
      </c>
      <c r="S76" s="118"/>
      <c r="T76" s="134"/>
      <c r="U76" s="4"/>
      <c r="V76"/>
      <c r="W76"/>
    </row>
    <row r="77" spans="1:23" s="36" customFormat="1" ht="60" hidden="1" customHeight="1" outlineLevel="2" x14ac:dyDescent="0.25">
      <c r="A77" s="34" t="s">
        <v>177</v>
      </c>
      <c r="B77" s="34" t="s">
        <v>222</v>
      </c>
      <c r="C77" s="34" t="s">
        <v>1026</v>
      </c>
      <c r="D77" s="41" t="s">
        <v>1577</v>
      </c>
      <c r="E77" s="12" t="s">
        <v>170</v>
      </c>
      <c r="F77" s="12" t="s">
        <v>205</v>
      </c>
      <c r="G77" s="12"/>
      <c r="H77" s="14">
        <v>190</v>
      </c>
      <c r="I77" s="15" t="s">
        <v>258</v>
      </c>
      <c r="J77" s="89">
        <f>IF(H77&gt;0,(H77*VLOOKUP(Lookups!$K$11,Lookups!$M$10:$P$43,4,0)/VLOOKUP(I77,Lookups!$M$10:$P$43,4,0)),"")</f>
        <v>219.80763331779099</v>
      </c>
      <c r="K77" s="14"/>
      <c r="L77" s="15"/>
      <c r="M77" s="89" t="str">
        <f>IF(K77&gt;0,(K77*VLOOKUP(Lookups!$K$11,Lookups!$M$10:$P$43,4,0)/VLOOKUP(L77,Lookups!$M$10:$P$43,4,0)),"")</f>
        <v/>
      </c>
      <c r="N77" s="14"/>
      <c r="O77" s="15"/>
      <c r="P77" s="89" t="str">
        <f>IF(N77&gt;0,(N77*VLOOKUP(Lookups!$K$11,Lookups!$M$10:$P$43,4,0)/VLOOKUP(O77,Lookups!$M$10:$P$43,4,0)),"")</f>
        <v/>
      </c>
      <c r="Q77" s="160" t="s">
        <v>1580</v>
      </c>
      <c r="R77" s="15" t="s">
        <v>152</v>
      </c>
      <c r="S77" s="118"/>
      <c r="T77" s="134"/>
      <c r="U77" s="4"/>
      <c r="V77"/>
      <c r="W77"/>
    </row>
    <row r="78" spans="1:23" s="36" customFormat="1" ht="60" hidden="1" customHeight="1" outlineLevel="2" x14ac:dyDescent="0.25">
      <c r="A78" s="34" t="s">
        <v>177</v>
      </c>
      <c r="B78" s="34" t="s">
        <v>222</v>
      </c>
      <c r="C78" s="34" t="s">
        <v>1027</v>
      </c>
      <c r="D78" s="41" t="s">
        <v>1578</v>
      </c>
      <c r="E78" s="12" t="s">
        <v>170</v>
      </c>
      <c r="F78" s="12" t="s">
        <v>243</v>
      </c>
      <c r="G78" s="12"/>
      <c r="H78" s="14">
        <f>50</f>
        <v>50</v>
      </c>
      <c r="I78" s="15" t="s">
        <v>258</v>
      </c>
      <c r="J78" s="89">
        <f>IF(H78&gt;0,(H78*VLOOKUP(Lookups!$K$11,Lookups!$M$10:$P$43,4,0)/VLOOKUP(I78,Lookups!$M$10:$P$43,4,0)),"")</f>
        <v>57.84411403099763</v>
      </c>
      <c r="K78" s="14"/>
      <c r="L78" s="15"/>
      <c r="M78" s="89" t="str">
        <f>IF(K78&gt;0,(K78*VLOOKUP(Lookups!$K$11,Lookups!$M$10:$P$43,4,0)/VLOOKUP(L78,Lookups!$M$10:$P$43,4,0)),"")</f>
        <v/>
      </c>
      <c r="N78" s="14"/>
      <c r="O78" s="15"/>
      <c r="P78" s="89" t="str">
        <f>IF(N78&gt;0,(N78*VLOOKUP(Lookups!$K$11,Lookups!$M$10:$P$43,4,0)/VLOOKUP(O78,Lookups!$M$10:$P$43,4,0)),"")</f>
        <v/>
      </c>
      <c r="Q78" s="160" t="s">
        <v>1580</v>
      </c>
      <c r="R78" s="15" t="s">
        <v>152</v>
      </c>
      <c r="S78" s="118"/>
      <c r="T78" s="134"/>
      <c r="U78" s="4"/>
      <c r="V78"/>
      <c r="W78"/>
    </row>
    <row r="79" spans="1:23" s="36" customFormat="1" ht="60" hidden="1" customHeight="1" outlineLevel="2" x14ac:dyDescent="0.25">
      <c r="A79" s="34" t="s">
        <v>177</v>
      </c>
      <c r="B79" s="34" t="s">
        <v>222</v>
      </c>
      <c r="C79" s="34" t="s">
        <v>1028</v>
      </c>
      <c r="D79" s="41" t="s">
        <v>1579</v>
      </c>
      <c r="E79" s="12" t="s">
        <v>170</v>
      </c>
      <c r="F79" s="12" t="s">
        <v>162</v>
      </c>
      <c r="G79" s="12"/>
      <c r="H79" s="14">
        <v>920</v>
      </c>
      <c r="I79" s="15" t="s">
        <v>258</v>
      </c>
      <c r="J79" s="89">
        <f>IF(H79&gt;0,(H79*VLOOKUP(Lookups!$K$11,Lookups!$M$10:$P$43,4,0)/VLOOKUP(I79,Lookups!$M$10:$P$43,4,0)),"")</f>
        <v>1064.3316981703565</v>
      </c>
      <c r="K79" s="14"/>
      <c r="L79" s="15"/>
      <c r="M79" s="89" t="str">
        <f>IF(K79&gt;0,(K79*VLOOKUP(Lookups!$K$11,Lookups!$M$10:$P$43,4,0)/VLOOKUP(L79,Lookups!$M$10:$P$43,4,0)),"")</f>
        <v/>
      </c>
      <c r="N79" s="14"/>
      <c r="O79" s="15"/>
      <c r="P79" s="89" t="str">
        <f>IF(N79&gt;0,(N79*VLOOKUP(Lookups!$K$11,Lookups!$M$10:$P$43,4,0)/VLOOKUP(O79,Lookups!$M$10:$P$43,4,0)),"")</f>
        <v/>
      </c>
      <c r="Q79" s="160" t="s">
        <v>1580</v>
      </c>
      <c r="R79" s="15" t="s">
        <v>152</v>
      </c>
      <c r="S79" s="118"/>
      <c r="T79" s="134"/>
      <c r="U79" s="4"/>
      <c r="V79"/>
      <c r="W79"/>
    </row>
    <row r="80" spans="1:23" s="36" customFormat="1" ht="60" hidden="1" customHeight="1" outlineLevel="1" collapsed="1" x14ac:dyDescent="0.25">
      <c r="A80" s="42" t="s">
        <v>177</v>
      </c>
      <c r="B80" s="42" t="s">
        <v>222</v>
      </c>
      <c r="C80" s="42" t="s">
        <v>1029</v>
      </c>
      <c r="D80" s="42" t="s">
        <v>1581</v>
      </c>
      <c r="E80" s="12" t="s">
        <v>170</v>
      </c>
      <c r="F80" s="12" t="s">
        <v>243</v>
      </c>
      <c r="G80" s="12"/>
      <c r="H80" s="14">
        <v>2340</v>
      </c>
      <c r="I80" s="15" t="s">
        <v>258</v>
      </c>
      <c r="J80" s="89">
        <f>IF(H80&gt;0,(H80*VLOOKUP(Lookups!$K$11,Lookups!$M$10:$P$43,4,0)/VLOOKUP(I80,Lookups!$M$10:$P$43,4,0)),"")</f>
        <v>2707.1045366506892</v>
      </c>
      <c r="K80" s="14">
        <v>790</v>
      </c>
      <c r="L80" s="15" t="s">
        <v>258</v>
      </c>
      <c r="M80" s="89">
        <f>IF(K80&gt;0,(K80*VLOOKUP(Lookups!$K$11,Lookups!$M$10:$P$43,4,0)/VLOOKUP(L80,Lookups!$M$10:$P$43,4,0)),"")</f>
        <v>913.93700168976272</v>
      </c>
      <c r="N80" s="14">
        <v>2810</v>
      </c>
      <c r="O80" s="15" t="s">
        <v>258</v>
      </c>
      <c r="P80" s="89">
        <f>IF(N80&gt;0,(N80*VLOOKUP(Lookups!$K$11,Lookups!$M$10:$P$43,4,0)/VLOOKUP(O80,Lookups!$M$10:$P$43,4,0)),"")</f>
        <v>3250.8392085420674</v>
      </c>
      <c r="Q80" s="160" t="s">
        <v>1580</v>
      </c>
      <c r="R80" s="15" t="s">
        <v>152</v>
      </c>
      <c r="S80" s="4" t="s">
        <v>1677</v>
      </c>
      <c r="T80" s="134"/>
      <c r="U80" s="4"/>
      <c r="V80"/>
      <c r="W80"/>
    </row>
    <row r="81" spans="1:23" s="36" customFormat="1" ht="60" hidden="1" customHeight="1" outlineLevel="2" x14ac:dyDescent="0.25">
      <c r="A81" s="34" t="s">
        <v>177</v>
      </c>
      <c r="B81" s="34" t="s">
        <v>222</v>
      </c>
      <c r="C81" s="34" t="s">
        <v>1030</v>
      </c>
      <c r="D81" s="41" t="s">
        <v>1582</v>
      </c>
      <c r="E81" s="12" t="s">
        <v>170</v>
      </c>
      <c r="F81" s="12" t="s">
        <v>632</v>
      </c>
      <c r="G81" s="12"/>
      <c r="H81" s="14">
        <v>810</v>
      </c>
      <c r="I81" s="15" t="s">
        <v>258</v>
      </c>
      <c r="J81" s="89">
        <f>IF(H81&gt;0,(H81*VLOOKUP(Lookups!$K$11,Lookups!$M$10:$P$43,4,0)/VLOOKUP(I81,Lookups!$M$10:$P$43,4,0)),"")</f>
        <v>937.07464730216179</v>
      </c>
      <c r="K81" s="14"/>
      <c r="L81" s="15"/>
      <c r="M81" s="89" t="str">
        <f>IF(K81&gt;0,(K81*VLOOKUP(Lookups!$K$11,Lookups!$M$10:$P$43,4,0)/VLOOKUP(L81,Lookups!$M$10:$P$43,4,0)),"")</f>
        <v/>
      </c>
      <c r="N81" s="14"/>
      <c r="O81" s="15"/>
      <c r="P81" s="89" t="str">
        <f>IF(N81&gt;0,(N81*VLOOKUP(Lookups!$K$11,Lookups!$M$10:$P$43,4,0)/VLOOKUP(O81,Lookups!$M$10:$P$43,4,0)),"")</f>
        <v/>
      </c>
      <c r="Q81" s="160" t="s">
        <v>1580</v>
      </c>
      <c r="R81" s="15" t="s">
        <v>152</v>
      </c>
      <c r="S81" s="118"/>
      <c r="T81" s="134"/>
      <c r="U81" s="4"/>
      <c r="V81"/>
      <c r="W81"/>
    </row>
    <row r="82" spans="1:23" s="36" customFormat="1" ht="60" hidden="1" customHeight="1" outlineLevel="2" x14ac:dyDescent="0.25">
      <c r="A82" s="34" t="s">
        <v>177</v>
      </c>
      <c r="B82" s="34" t="s">
        <v>222</v>
      </c>
      <c r="C82" s="34" t="s">
        <v>1031</v>
      </c>
      <c r="D82" s="41" t="s">
        <v>1583</v>
      </c>
      <c r="E82" s="12" t="s">
        <v>170</v>
      </c>
      <c r="F82" s="12" t="s">
        <v>199</v>
      </c>
      <c r="G82" s="12"/>
      <c r="H82" s="14">
        <v>230</v>
      </c>
      <c r="I82" s="15" t="s">
        <v>258</v>
      </c>
      <c r="J82" s="89">
        <f>IF(H82&gt;0,(H82*VLOOKUP(Lookups!$K$11,Lookups!$M$10:$P$43,4,0)/VLOOKUP(I82,Lookups!$M$10:$P$43,4,0)),"")</f>
        <v>266.08292454258913</v>
      </c>
      <c r="K82" s="14"/>
      <c r="L82" s="15"/>
      <c r="M82" s="89" t="str">
        <f>IF(K82&gt;0,(K82*VLOOKUP(Lookups!$K$11,Lookups!$M$10:$P$43,4,0)/VLOOKUP(L82,Lookups!$M$10:$P$43,4,0)),"")</f>
        <v/>
      </c>
      <c r="N82" s="14"/>
      <c r="O82" s="15"/>
      <c r="P82" s="89" t="str">
        <f>IF(N82&gt;0,(N82*VLOOKUP(Lookups!$K$11,Lookups!$M$10:$P$43,4,0)/VLOOKUP(O82,Lookups!$M$10:$P$43,4,0)),"")</f>
        <v/>
      </c>
      <c r="Q82" s="160" t="s">
        <v>1580</v>
      </c>
      <c r="R82" s="15" t="s">
        <v>152</v>
      </c>
      <c r="S82" s="118"/>
      <c r="T82" s="134"/>
      <c r="U82" s="4"/>
      <c r="V82"/>
      <c r="W82"/>
    </row>
    <row r="83" spans="1:23" s="36" customFormat="1" ht="60" hidden="1" customHeight="1" outlineLevel="2" x14ac:dyDescent="0.25">
      <c r="A83" s="34" t="s">
        <v>177</v>
      </c>
      <c r="B83" s="34" t="s">
        <v>222</v>
      </c>
      <c r="C83" s="34" t="s">
        <v>1032</v>
      </c>
      <c r="D83" s="41" t="s">
        <v>1584</v>
      </c>
      <c r="E83" s="12" t="s">
        <v>170</v>
      </c>
      <c r="F83" s="12" t="s">
        <v>265</v>
      </c>
      <c r="G83" s="12" t="s">
        <v>696</v>
      </c>
      <c r="H83" s="14">
        <f>630+50+30+10+170</f>
        <v>890</v>
      </c>
      <c r="I83" s="15" t="s">
        <v>258</v>
      </c>
      <c r="J83" s="89">
        <f>IF(H83&gt;0,(H83*VLOOKUP(Lookups!$K$11,Lookups!$M$10:$P$43,4,0)/VLOOKUP(I83,Lookups!$M$10:$P$43,4,0)),"")</f>
        <v>1029.6252297517578</v>
      </c>
      <c r="K83" s="14"/>
      <c r="L83" s="15"/>
      <c r="M83" s="89" t="str">
        <f>IF(K83&gt;0,(K83*VLOOKUP(Lookups!$K$11,Lookups!$M$10:$P$43,4,0)/VLOOKUP(L83,Lookups!$M$10:$P$43,4,0)),"")</f>
        <v/>
      </c>
      <c r="N83" s="14"/>
      <c r="O83" s="15"/>
      <c r="P83" s="89" t="str">
        <f>IF(N83&gt;0,(N83*VLOOKUP(Lookups!$K$11,Lookups!$M$10:$P$43,4,0)/VLOOKUP(O83,Lookups!$M$10:$P$43,4,0)),"")</f>
        <v/>
      </c>
      <c r="Q83" s="160" t="s">
        <v>1580</v>
      </c>
      <c r="R83" s="15" t="s">
        <v>152</v>
      </c>
      <c r="S83" s="118"/>
      <c r="T83" s="134"/>
      <c r="U83" s="4"/>
      <c r="V83"/>
      <c r="W83"/>
    </row>
    <row r="84" spans="1:23" s="36" customFormat="1" ht="60" hidden="1" customHeight="1" outlineLevel="2" x14ac:dyDescent="0.25">
      <c r="A84" s="34" t="s">
        <v>177</v>
      </c>
      <c r="B84" s="34" t="s">
        <v>222</v>
      </c>
      <c r="C84" s="34" t="s">
        <v>1033</v>
      </c>
      <c r="D84" s="41" t="s">
        <v>1585</v>
      </c>
      <c r="E84" s="12" t="s">
        <v>170</v>
      </c>
      <c r="F84" s="12" t="s">
        <v>205</v>
      </c>
      <c r="G84" s="12"/>
      <c r="H84" s="14">
        <v>30</v>
      </c>
      <c r="I84" s="15" t="s">
        <v>258</v>
      </c>
      <c r="J84" s="89">
        <f>IF(H84&gt;0,(H84*VLOOKUP(Lookups!$K$11,Lookups!$M$10:$P$43,4,0)/VLOOKUP(I84,Lookups!$M$10:$P$43,4,0)),"")</f>
        <v>34.706468418598583</v>
      </c>
      <c r="K84" s="14"/>
      <c r="L84" s="15"/>
      <c r="M84" s="89" t="str">
        <f>IF(K84&gt;0,(K84*VLOOKUP(Lookups!$K$11,Lookups!$M$10:$P$43,4,0)/VLOOKUP(L84,Lookups!$M$10:$P$43,4,0)),"")</f>
        <v/>
      </c>
      <c r="N84" s="14"/>
      <c r="O84" s="15"/>
      <c r="P84" s="89" t="str">
        <f>IF(N84&gt;0,(N84*VLOOKUP(Lookups!$K$11,Lookups!$M$10:$P$43,4,0)/VLOOKUP(O84,Lookups!$M$10:$P$43,4,0)),"")</f>
        <v/>
      </c>
      <c r="Q84" s="160" t="s">
        <v>1580</v>
      </c>
      <c r="R84" s="15" t="s">
        <v>152</v>
      </c>
      <c r="S84" s="118"/>
      <c r="T84" s="134"/>
      <c r="U84" s="4"/>
      <c r="V84"/>
      <c r="W84"/>
    </row>
    <row r="85" spans="1:23" s="36" customFormat="1" ht="60" hidden="1" customHeight="1" outlineLevel="2" x14ac:dyDescent="0.25">
      <c r="A85" s="34" t="s">
        <v>177</v>
      </c>
      <c r="B85" s="34" t="s">
        <v>222</v>
      </c>
      <c r="C85" s="34" t="s">
        <v>1034</v>
      </c>
      <c r="D85" s="41" t="s">
        <v>1586</v>
      </c>
      <c r="E85" s="12" t="s">
        <v>170</v>
      </c>
      <c r="F85" s="12" t="s">
        <v>243</v>
      </c>
      <c r="G85" s="12"/>
      <c r="H85" s="14">
        <v>90</v>
      </c>
      <c r="I85" s="15" t="s">
        <v>258</v>
      </c>
      <c r="J85" s="89">
        <f>IF(H85&gt;0,(H85*VLOOKUP(Lookups!$K$11,Lookups!$M$10:$P$43,4,0)/VLOOKUP(I85,Lookups!$M$10:$P$43,4,0)),"")</f>
        <v>104.11940525579575</v>
      </c>
      <c r="K85" s="14"/>
      <c r="L85" s="15"/>
      <c r="M85" s="89" t="str">
        <f>IF(K85&gt;0,(K85*VLOOKUP(Lookups!$K$11,Lookups!$M$10:$P$43,4,0)/VLOOKUP(L85,Lookups!$M$10:$P$43,4,0)),"")</f>
        <v/>
      </c>
      <c r="N85" s="14"/>
      <c r="O85" s="15"/>
      <c r="P85" s="89" t="str">
        <f>IF(N85&gt;0,(N85*VLOOKUP(Lookups!$K$11,Lookups!$M$10:$P$43,4,0)/VLOOKUP(O85,Lookups!$M$10:$P$43,4,0)),"")</f>
        <v/>
      </c>
      <c r="Q85" s="160" t="s">
        <v>1580</v>
      </c>
      <c r="R85" s="15" t="s">
        <v>152</v>
      </c>
      <c r="S85" s="118"/>
      <c r="T85" s="134"/>
      <c r="U85" s="4"/>
      <c r="V85"/>
      <c r="W85"/>
    </row>
    <row r="86" spans="1:23" s="36" customFormat="1" ht="60" hidden="1" customHeight="1" outlineLevel="2" x14ac:dyDescent="0.25">
      <c r="A86" s="34" t="s">
        <v>177</v>
      </c>
      <c r="B86" s="34" t="s">
        <v>222</v>
      </c>
      <c r="C86" s="34" t="s">
        <v>1035</v>
      </c>
      <c r="D86" s="41" t="s">
        <v>1587</v>
      </c>
      <c r="E86" s="12" t="s">
        <v>170</v>
      </c>
      <c r="F86" s="12" t="s">
        <v>162</v>
      </c>
      <c r="G86" s="12"/>
      <c r="H86" s="14">
        <v>270</v>
      </c>
      <c r="I86" s="15" t="s">
        <v>258</v>
      </c>
      <c r="J86" s="89">
        <f>IF(H86&gt;0,(H86*VLOOKUP(Lookups!$K$11,Lookups!$M$10:$P$43,4,0)/VLOOKUP(I86,Lookups!$M$10:$P$43,4,0)),"")</f>
        <v>312.35821576738726</v>
      </c>
      <c r="K86" s="14"/>
      <c r="L86" s="15"/>
      <c r="M86" s="89" t="str">
        <f>IF(K86&gt;0,(K86*VLOOKUP(Lookups!$K$11,Lookups!$M$10:$P$43,4,0)/VLOOKUP(L86,Lookups!$M$10:$P$43,4,0)),"")</f>
        <v/>
      </c>
      <c r="N86" s="14"/>
      <c r="O86" s="15"/>
      <c r="P86" s="89" t="str">
        <f>IF(N86&gt;0,(N86*VLOOKUP(Lookups!$K$11,Lookups!$M$10:$P$43,4,0)/VLOOKUP(O86,Lookups!$M$10:$P$43,4,0)),"")</f>
        <v/>
      </c>
      <c r="Q86" s="160" t="s">
        <v>1580</v>
      </c>
      <c r="R86" s="15" t="s">
        <v>152</v>
      </c>
      <c r="S86" s="118"/>
      <c r="T86" s="134"/>
      <c r="U86" s="4"/>
      <c r="V86"/>
      <c r="W86"/>
    </row>
    <row r="87" spans="1:23" s="36" customFormat="1" ht="60" hidden="1" customHeight="1" outlineLevel="2" x14ac:dyDescent="0.25">
      <c r="A87" s="34" t="s">
        <v>177</v>
      </c>
      <c r="B87" s="34" t="s">
        <v>222</v>
      </c>
      <c r="C87" s="34" t="s">
        <v>1693</v>
      </c>
      <c r="D87" s="41" t="s">
        <v>1588</v>
      </c>
      <c r="E87" s="12" t="s">
        <v>170</v>
      </c>
      <c r="F87" s="12" t="s">
        <v>1572</v>
      </c>
      <c r="G87" s="12"/>
      <c r="H87" s="14">
        <v>10</v>
      </c>
      <c r="I87" s="15" t="s">
        <v>258</v>
      </c>
      <c r="J87" s="89">
        <f>IF(H87&gt;0,(H87*VLOOKUP(Lookups!$K$11,Lookups!$M$10:$P$43,4,0)/VLOOKUP(I87,Lookups!$M$10:$P$43,4,0)),"")</f>
        <v>11.568822806199528</v>
      </c>
      <c r="K87" s="14"/>
      <c r="L87" s="15"/>
      <c r="M87" s="89" t="str">
        <f>IF(K87&gt;0,(K87*VLOOKUP(Lookups!$K$11,Lookups!$M$10:$P$43,4,0)/VLOOKUP(L87,Lookups!$M$10:$P$43,4,0)),"")</f>
        <v/>
      </c>
      <c r="N87" s="14"/>
      <c r="O87" s="15"/>
      <c r="P87" s="89" t="str">
        <f>IF(N87&gt;0,(N87*VLOOKUP(Lookups!$K$11,Lookups!$M$10:$P$43,4,0)/VLOOKUP(O87,Lookups!$M$10:$P$43,4,0)),"")</f>
        <v/>
      </c>
      <c r="Q87" s="160" t="s">
        <v>1580</v>
      </c>
      <c r="R87" s="15" t="s">
        <v>152</v>
      </c>
      <c r="S87" s="118"/>
      <c r="T87" s="134"/>
      <c r="U87" s="4"/>
      <c r="V87"/>
      <c r="W87"/>
    </row>
    <row r="88" spans="1:23" s="36" customFormat="1" ht="60" hidden="1" customHeight="1" outlineLevel="1" collapsed="1" x14ac:dyDescent="0.25">
      <c r="A88" s="42" t="s">
        <v>177</v>
      </c>
      <c r="B88" s="42" t="s">
        <v>222</v>
      </c>
      <c r="C88" s="42" t="s">
        <v>1036</v>
      </c>
      <c r="D88" s="42" t="s">
        <v>1589</v>
      </c>
      <c r="E88" s="12" t="s">
        <v>170</v>
      </c>
      <c r="F88" s="12" t="s">
        <v>243</v>
      </c>
      <c r="G88" s="12"/>
      <c r="H88" s="14">
        <v>8090</v>
      </c>
      <c r="I88" s="15" t="s">
        <v>258</v>
      </c>
      <c r="J88" s="89">
        <f>IF(H88&gt;0,(H88*VLOOKUP(Lookups!$K$11,Lookups!$M$10:$P$43,4,0)/VLOOKUP(I88,Lookups!$M$10:$P$43,4,0)),"")</f>
        <v>9359.1776502154171</v>
      </c>
      <c r="K88" s="14">
        <v>6880</v>
      </c>
      <c r="L88" s="15" t="s">
        <v>258</v>
      </c>
      <c r="M88" s="89">
        <f>IF(K88&gt;0,(K88*VLOOKUP(Lookups!$K$11,Lookups!$M$10:$P$43,4,0)/VLOOKUP(L88,Lookups!$M$10:$P$43,4,0)),"")</f>
        <v>7959.3500906652744</v>
      </c>
      <c r="N88" s="14">
        <v>24390</v>
      </c>
      <c r="O88" s="15" t="s">
        <v>258</v>
      </c>
      <c r="P88" s="89">
        <f>IF(N88&gt;0,(N88*VLOOKUP(Lookups!$K$11,Lookups!$M$10:$P$43,4,0)/VLOOKUP(O88,Lookups!$M$10:$P$43,4,0)),"")</f>
        <v>28216.358824320647</v>
      </c>
      <c r="Q88" s="160" t="s">
        <v>1580</v>
      </c>
      <c r="R88" s="15" t="s">
        <v>152</v>
      </c>
      <c r="S88" s="4" t="s">
        <v>1678</v>
      </c>
      <c r="T88" s="134"/>
      <c r="U88" s="4"/>
      <c r="V88"/>
      <c r="W88"/>
    </row>
    <row r="89" spans="1:23" s="36" customFormat="1" ht="60" hidden="1" customHeight="1" outlineLevel="2" x14ac:dyDescent="0.25">
      <c r="A89" s="34" t="s">
        <v>177</v>
      </c>
      <c r="B89" s="34" t="s">
        <v>222</v>
      </c>
      <c r="C89" s="34" t="s">
        <v>1037</v>
      </c>
      <c r="D89" s="41" t="s">
        <v>1590</v>
      </c>
      <c r="E89" s="12" t="s">
        <v>170</v>
      </c>
      <c r="F89" s="12" t="s">
        <v>632</v>
      </c>
      <c r="G89" s="12"/>
      <c r="H89" s="14">
        <v>6360</v>
      </c>
      <c r="I89" s="15" t="s">
        <v>258</v>
      </c>
      <c r="J89" s="89">
        <f>IF(H89&gt;0,(H89*VLOOKUP(Lookups!$K$11,Lookups!$M$10:$P$43,4,0)/VLOOKUP(I89,Lookups!$M$10:$P$43,4,0)),"")</f>
        <v>7357.7713047428997</v>
      </c>
      <c r="K89" s="14"/>
      <c r="L89" s="15"/>
      <c r="M89" s="89" t="str">
        <f>IF(K89&gt;0,(K89*VLOOKUP(Lookups!$K$11,Lookups!$M$10:$P$43,4,0)/VLOOKUP(L89,Lookups!$M$10:$P$43,4,0)),"")</f>
        <v/>
      </c>
      <c r="N89" s="14"/>
      <c r="O89" s="15"/>
      <c r="P89" s="89" t="str">
        <f>IF(N89&gt;0,(N89*VLOOKUP(Lookups!$K$11,Lookups!$M$10:$P$43,4,0)/VLOOKUP(O89,Lookups!$M$10:$P$43,4,0)),"")</f>
        <v/>
      </c>
      <c r="Q89" s="160" t="s">
        <v>1580</v>
      </c>
      <c r="R89" s="15" t="s">
        <v>152</v>
      </c>
      <c r="S89" s="118"/>
      <c r="T89" s="134"/>
      <c r="U89" s="4"/>
      <c r="V89"/>
      <c r="W89"/>
    </row>
    <row r="90" spans="1:23" s="36" customFormat="1" ht="60" hidden="1" customHeight="1" outlineLevel="2" x14ac:dyDescent="0.25">
      <c r="A90" s="34" t="s">
        <v>177</v>
      </c>
      <c r="B90" s="34" t="s">
        <v>222</v>
      </c>
      <c r="C90" s="34" t="s">
        <v>1038</v>
      </c>
      <c r="D90" s="41" t="s">
        <v>1591</v>
      </c>
      <c r="E90" s="12" t="s">
        <v>170</v>
      </c>
      <c r="F90" s="12" t="s">
        <v>199</v>
      </c>
      <c r="G90" s="12"/>
      <c r="H90" s="14">
        <v>20</v>
      </c>
      <c r="I90" s="15" t="s">
        <v>258</v>
      </c>
      <c r="J90" s="89">
        <f>IF(H90&gt;0,(H90*VLOOKUP(Lookups!$K$11,Lookups!$M$10:$P$43,4,0)/VLOOKUP(I90,Lookups!$M$10:$P$43,4,0)),"")</f>
        <v>23.137645612399055</v>
      </c>
      <c r="K90" s="14"/>
      <c r="L90" s="15"/>
      <c r="M90" s="89" t="str">
        <f>IF(K90&gt;0,(K90*VLOOKUP(Lookups!$K$11,Lookups!$M$10:$P$43,4,0)/VLOOKUP(L90,Lookups!$M$10:$P$43,4,0)),"")</f>
        <v/>
      </c>
      <c r="N90" s="14"/>
      <c r="O90" s="15"/>
      <c r="P90" s="89" t="str">
        <f>IF(N90&gt;0,(N90*VLOOKUP(Lookups!$K$11,Lookups!$M$10:$P$43,4,0)/VLOOKUP(O90,Lookups!$M$10:$P$43,4,0)),"")</f>
        <v/>
      </c>
      <c r="Q90" s="160" t="s">
        <v>1580</v>
      </c>
      <c r="R90" s="15" t="s">
        <v>152</v>
      </c>
      <c r="S90" s="118"/>
      <c r="T90" s="134"/>
      <c r="U90" s="4"/>
      <c r="V90"/>
      <c r="W90"/>
    </row>
    <row r="91" spans="1:23" s="36" customFormat="1" ht="60" hidden="1" customHeight="1" outlineLevel="2" x14ac:dyDescent="0.25">
      <c r="A91" s="34" t="s">
        <v>177</v>
      </c>
      <c r="B91" s="34" t="s">
        <v>222</v>
      </c>
      <c r="C91" s="34" t="s">
        <v>1039</v>
      </c>
      <c r="D91" s="41" t="s">
        <v>1592</v>
      </c>
      <c r="E91" s="12" t="s">
        <v>170</v>
      </c>
      <c r="F91" s="12" t="s">
        <v>265</v>
      </c>
      <c r="G91" s="12" t="s">
        <v>696</v>
      </c>
      <c r="H91" s="14">
        <f>10+260+30+0+20+80</f>
        <v>400</v>
      </c>
      <c r="I91" s="15" t="s">
        <v>258</v>
      </c>
      <c r="J91" s="89">
        <f>IF(H91&gt;0,(H91*VLOOKUP(Lookups!$K$11,Lookups!$M$10:$P$43,4,0)/VLOOKUP(I91,Lookups!$M$10:$P$43,4,0)),"")</f>
        <v>462.75291224798104</v>
      </c>
      <c r="K91" s="14"/>
      <c r="L91" s="15"/>
      <c r="M91" s="89" t="str">
        <f>IF(K91&gt;0,(K91*VLOOKUP(Lookups!$K$11,Lookups!$M$10:$P$43,4,0)/VLOOKUP(L91,Lookups!$M$10:$P$43,4,0)),"")</f>
        <v/>
      </c>
      <c r="N91" s="14"/>
      <c r="O91" s="15"/>
      <c r="P91" s="89" t="str">
        <f>IF(N91&gt;0,(N91*VLOOKUP(Lookups!$K$11,Lookups!$M$10:$P$43,4,0)/VLOOKUP(O91,Lookups!$M$10:$P$43,4,0)),"")</f>
        <v/>
      </c>
      <c r="Q91" s="160" t="s">
        <v>1580</v>
      </c>
      <c r="R91" s="15" t="s">
        <v>152</v>
      </c>
      <c r="S91" s="118"/>
      <c r="T91" s="134"/>
      <c r="U91" s="4"/>
      <c r="V91"/>
      <c r="W91"/>
    </row>
    <row r="92" spans="1:23" s="36" customFormat="1" ht="60" hidden="1" customHeight="1" outlineLevel="2" x14ac:dyDescent="0.25">
      <c r="A92" s="34" t="s">
        <v>177</v>
      </c>
      <c r="B92" s="34" t="s">
        <v>222</v>
      </c>
      <c r="C92" s="34" t="s">
        <v>1040</v>
      </c>
      <c r="D92" s="41" t="s">
        <v>1593</v>
      </c>
      <c r="E92" s="12" t="s">
        <v>170</v>
      </c>
      <c r="F92" s="12" t="s">
        <v>205</v>
      </c>
      <c r="G92" s="12"/>
      <c r="H92" s="14">
        <v>140</v>
      </c>
      <c r="I92" s="15" t="s">
        <v>258</v>
      </c>
      <c r="J92" s="89">
        <f>IF(H92&gt;0,(H92*VLOOKUP(Lookups!$K$11,Lookups!$M$10:$P$43,4,0)/VLOOKUP(I92,Lookups!$M$10:$P$43,4,0)),"")</f>
        <v>161.9635192867934</v>
      </c>
      <c r="K92" s="14"/>
      <c r="L92" s="15"/>
      <c r="M92" s="89" t="str">
        <f>IF(K92&gt;0,(K92*VLOOKUP(Lookups!$K$11,Lookups!$M$10:$P$43,4,0)/VLOOKUP(L92,Lookups!$M$10:$P$43,4,0)),"")</f>
        <v/>
      </c>
      <c r="N92" s="14"/>
      <c r="O92" s="15"/>
      <c r="P92" s="89" t="str">
        <f>IF(N92&gt;0,(N92*VLOOKUP(Lookups!$K$11,Lookups!$M$10:$P$43,4,0)/VLOOKUP(O92,Lookups!$M$10:$P$43,4,0)),"")</f>
        <v/>
      </c>
      <c r="Q92" s="160" t="s">
        <v>1580</v>
      </c>
      <c r="R92" s="15" t="s">
        <v>152</v>
      </c>
      <c r="S92" s="118"/>
      <c r="T92" s="134"/>
      <c r="U92" s="4"/>
      <c r="V92"/>
      <c r="W92"/>
    </row>
    <row r="93" spans="1:23" s="36" customFormat="1" ht="60" hidden="1" customHeight="1" outlineLevel="2" x14ac:dyDescent="0.25">
      <c r="A93" s="34" t="s">
        <v>177</v>
      </c>
      <c r="B93" s="34" t="s">
        <v>222</v>
      </c>
      <c r="C93" s="34" t="s">
        <v>1041</v>
      </c>
      <c r="D93" s="41" t="s">
        <v>1594</v>
      </c>
      <c r="E93" s="12" t="s">
        <v>170</v>
      </c>
      <c r="F93" s="12" t="s">
        <v>243</v>
      </c>
      <c r="G93" s="12"/>
      <c r="H93" s="14">
        <v>20</v>
      </c>
      <c r="I93" s="15" t="s">
        <v>258</v>
      </c>
      <c r="J93" s="89">
        <f>IF(H93&gt;0,(H93*VLOOKUP(Lookups!$K$11,Lookups!$M$10:$P$43,4,0)/VLOOKUP(I93,Lookups!$M$10:$P$43,4,0)),"")</f>
        <v>23.137645612399055</v>
      </c>
      <c r="K93" s="14"/>
      <c r="L93" s="15"/>
      <c r="M93" s="89" t="str">
        <f>IF(K93&gt;0,(K93*VLOOKUP(Lookups!$K$11,Lookups!$M$10:$P$43,4,0)/VLOOKUP(L93,Lookups!$M$10:$P$43,4,0)),"")</f>
        <v/>
      </c>
      <c r="N93" s="14"/>
      <c r="O93" s="15"/>
      <c r="P93" s="89" t="str">
        <f>IF(N93&gt;0,(N93*VLOOKUP(Lookups!$K$11,Lookups!$M$10:$P$43,4,0)/VLOOKUP(O93,Lookups!$M$10:$P$43,4,0)),"")</f>
        <v/>
      </c>
      <c r="Q93" s="160" t="s">
        <v>1580</v>
      </c>
      <c r="R93" s="15" t="s">
        <v>152</v>
      </c>
      <c r="S93" s="118"/>
      <c r="T93" s="134"/>
      <c r="U93" s="4"/>
      <c r="V93"/>
      <c r="W93"/>
    </row>
    <row r="94" spans="1:23" s="36" customFormat="1" ht="60" hidden="1" customHeight="1" outlineLevel="2" x14ac:dyDescent="0.25">
      <c r="A94" s="34" t="s">
        <v>177</v>
      </c>
      <c r="B94" s="34" t="s">
        <v>222</v>
      </c>
      <c r="C94" s="34" t="s">
        <v>1042</v>
      </c>
      <c r="D94" s="41" t="s">
        <v>1595</v>
      </c>
      <c r="E94" s="12" t="s">
        <v>170</v>
      </c>
      <c r="F94" s="12" t="s">
        <v>162</v>
      </c>
      <c r="G94" s="12"/>
      <c r="H94" s="14">
        <v>1110</v>
      </c>
      <c r="I94" s="15" t="s">
        <v>258</v>
      </c>
      <c r="J94" s="89">
        <f>IF(H94&gt;0,(H94*VLOOKUP(Lookups!$K$11,Lookups!$M$10:$P$43,4,0)/VLOOKUP(I94,Lookups!$M$10:$P$43,4,0)),"")</f>
        <v>1284.1393314881475</v>
      </c>
      <c r="K94" s="14"/>
      <c r="L94" s="15"/>
      <c r="M94" s="89" t="str">
        <f>IF(K94&gt;0,(K94*VLOOKUP(Lookups!$K$11,Lookups!$M$10:$P$43,4,0)/VLOOKUP(L94,Lookups!$M$10:$P$43,4,0)),"")</f>
        <v/>
      </c>
      <c r="N94" s="14"/>
      <c r="O94" s="15"/>
      <c r="P94" s="89" t="str">
        <f>IF(N94&gt;0,(N94*VLOOKUP(Lookups!$K$11,Lookups!$M$10:$P$43,4,0)/VLOOKUP(O94,Lookups!$M$10:$P$43,4,0)),"")</f>
        <v/>
      </c>
      <c r="Q94" s="160" t="s">
        <v>1580</v>
      </c>
      <c r="R94" s="15" t="s">
        <v>152</v>
      </c>
      <c r="S94" s="118"/>
      <c r="T94" s="134"/>
      <c r="U94" s="4"/>
      <c r="V94"/>
      <c r="W94"/>
    </row>
    <row r="95" spans="1:23" s="36" customFormat="1" ht="60" hidden="1" customHeight="1" outlineLevel="2" x14ac:dyDescent="0.25">
      <c r="A95" s="34" t="s">
        <v>177</v>
      </c>
      <c r="B95" s="34" t="s">
        <v>222</v>
      </c>
      <c r="C95" s="34" t="s">
        <v>1694</v>
      </c>
      <c r="D95" s="41" t="s">
        <v>1596</v>
      </c>
      <c r="E95" s="12" t="s">
        <v>170</v>
      </c>
      <c r="F95" s="12" t="s">
        <v>1572</v>
      </c>
      <c r="G95" s="12"/>
      <c r="H95" s="14">
        <v>40</v>
      </c>
      <c r="I95" s="15" t="s">
        <v>258</v>
      </c>
      <c r="J95" s="89">
        <f>IF(H95&gt;0,(H95*VLOOKUP(Lookups!$K$11,Lookups!$M$10:$P$43,4,0)/VLOOKUP(I95,Lookups!$M$10:$P$43,4,0)),"")</f>
        <v>46.27529122479811</v>
      </c>
      <c r="K95" s="14"/>
      <c r="L95" s="15"/>
      <c r="M95" s="89" t="str">
        <f>IF(K95&gt;0,(K95*VLOOKUP(Lookups!$K$11,Lookups!$M$10:$P$43,4,0)/VLOOKUP(L95,Lookups!$M$10:$P$43,4,0)),"")</f>
        <v/>
      </c>
      <c r="N95" s="14"/>
      <c r="O95" s="15"/>
      <c r="P95" s="89" t="str">
        <f>IF(N95&gt;0,(N95*VLOOKUP(Lookups!$K$11,Lookups!$M$10:$P$43,4,0)/VLOOKUP(O95,Lookups!$M$10:$P$43,4,0)),"")</f>
        <v/>
      </c>
      <c r="Q95" s="160" t="s">
        <v>1580</v>
      </c>
      <c r="R95" s="15" t="s">
        <v>152</v>
      </c>
      <c r="S95" s="118"/>
      <c r="T95" s="134"/>
      <c r="U95" s="4"/>
      <c r="V95"/>
      <c r="W95"/>
    </row>
    <row r="96" spans="1:23" s="36" customFormat="1" ht="60" hidden="1" customHeight="1" outlineLevel="1" collapsed="1" x14ac:dyDescent="0.25">
      <c r="A96" s="42" t="s">
        <v>177</v>
      </c>
      <c r="B96" s="42" t="s">
        <v>222</v>
      </c>
      <c r="C96" s="42" t="s">
        <v>1043</v>
      </c>
      <c r="D96" s="42" t="s">
        <v>1597</v>
      </c>
      <c r="E96" s="12" t="s">
        <v>170</v>
      </c>
      <c r="F96" s="12" t="s">
        <v>243</v>
      </c>
      <c r="G96" s="12"/>
      <c r="H96" s="14">
        <v>1550</v>
      </c>
      <c r="I96" s="15" t="s">
        <v>258</v>
      </c>
      <c r="J96" s="89">
        <f>IF(H96&gt;0,(H96*VLOOKUP(Lookups!$K$11,Lookups!$M$10:$P$43,4,0)/VLOOKUP(I96,Lookups!$M$10:$P$43,4,0)),"")</f>
        <v>1793.1675349609268</v>
      </c>
      <c r="K96" s="14">
        <v>1280</v>
      </c>
      <c r="L96" s="15" t="s">
        <v>258</v>
      </c>
      <c r="M96" s="89">
        <f>IF(K96&gt;0,(K96*VLOOKUP(Lookups!$K$11,Lookups!$M$10:$P$43,4,0)/VLOOKUP(L96,Lookups!$M$10:$P$43,4,0)),"")</f>
        <v>1480.8093191935395</v>
      </c>
      <c r="N96" s="14">
        <v>3700</v>
      </c>
      <c r="O96" s="15" t="s">
        <v>258</v>
      </c>
      <c r="P96" s="89">
        <f>IF(N96&gt;0,(N96*VLOOKUP(Lookups!$K$11,Lookups!$M$10:$P$43,4,0)/VLOOKUP(O96,Lookups!$M$10:$P$43,4,0)),"")</f>
        <v>4280.464438293825</v>
      </c>
      <c r="Q96" s="160" t="s">
        <v>1580</v>
      </c>
      <c r="R96" s="15" t="s">
        <v>152</v>
      </c>
      <c r="S96" s="4" t="s">
        <v>1679</v>
      </c>
      <c r="T96" s="134"/>
      <c r="U96" s="4"/>
      <c r="V96"/>
      <c r="W96"/>
    </row>
    <row r="97" spans="1:23" s="36" customFormat="1" ht="60" hidden="1" customHeight="1" outlineLevel="2" x14ac:dyDescent="0.25">
      <c r="A97" s="34" t="s">
        <v>177</v>
      </c>
      <c r="B97" s="34" t="s">
        <v>222</v>
      </c>
      <c r="C97" s="34" t="s">
        <v>1044</v>
      </c>
      <c r="D97" s="41" t="s">
        <v>1598</v>
      </c>
      <c r="E97" s="12" t="s">
        <v>170</v>
      </c>
      <c r="F97" s="12" t="s">
        <v>632</v>
      </c>
      <c r="G97" s="12"/>
      <c r="H97" s="14">
        <v>570</v>
      </c>
      <c r="I97" s="15" t="s">
        <v>258</v>
      </c>
      <c r="J97" s="89">
        <f>IF(H97&gt;0,(H97*VLOOKUP(Lookups!$K$11,Lookups!$M$10:$P$43,4,0)/VLOOKUP(I97,Lookups!$M$10:$P$43,4,0)),"")</f>
        <v>659.42289995337308</v>
      </c>
      <c r="K97" s="14"/>
      <c r="L97" s="15"/>
      <c r="M97" s="89" t="str">
        <f>IF(K97&gt;0,(K97*VLOOKUP(Lookups!$K$11,Lookups!$M$10:$P$43,4,0)/VLOOKUP(L97,Lookups!$M$10:$P$43,4,0)),"")</f>
        <v/>
      </c>
      <c r="N97" s="14"/>
      <c r="O97" s="15"/>
      <c r="P97" s="89" t="str">
        <f>IF(N97&gt;0,(N97*VLOOKUP(Lookups!$K$11,Lookups!$M$10:$P$43,4,0)/VLOOKUP(O97,Lookups!$M$10:$P$43,4,0)),"")</f>
        <v/>
      </c>
      <c r="Q97" s="160" t="s">
        <v>1580</v>
      </c>
      <c r="R97" s="15" t="s">
        <v>152</v>
      </c>
      <c r="S97" s="118"/>
      <c r="T97" s="134"/>
      <c r="U97" s="4"/>
      <c r="V97"/>
      <c r="W97"/>
    </row>
    <row r="98" spans="1:23" s="36" customFormat="1" ht="60" hidden="1" customHeight="1" outlineLevel="2" x14ac:dyDescent="0.25">
      <c r="A98" s="34" t="s">
        <v>177</v>
      </c>
      <c r="B98" s="34" t="s">
        <v>222</v>
      </c>
      <c r="C98" s="34" t="s">
        <v>1045</v>
      </c>
      <c r="D98" s="41" t="s">
        <v>1599</v>
      </c>
      <c r="E98" s="12" t="s">
        <v>170</v>
      </c>
      <c r="F98" s="12" t="s">
        <v>199</v>
      </c>
      <c r="G98" s="12"/>
      <c r="H98" s="14">
        <v>20</v>
      </c>
      <c r="I98" s="15" t="s">
        <v>258</v>
      </c>
      <c r="J98" s="89">
        <f>IF(H98&gt;0,(H98*VLOOKUP(Lookups!$K$11,Lookups!$M$10:$P$43,4,0)/VLOOKUP(I98,Lookups!$M$10:$P$43,4,0)),"")</f>
        <v>23.137645612399055</v>
      </c>
      <c r="K98" s="14"/>
      <c r="L98" s="15"/>
      <c r="M98" s="89" t="str">
        <f>IF(K98&gt;0,(K98*VLOOKUP(Lookups!$K$11,Lookups!$M$10:$P$43,4,0)/VLOOKUP(L98,Lookups!$M$10:$P$43,4,0)),"")</f>
        <v/>
      </c>
      <c r="N98" s="14"/>
      <c r="O98" s="15"/>
      <c r="P98" s="89" t="str">
        <f>IF(N98&gt;0,(N98*VLOOKUP(Lookups!$K$11,Lookups!$M$10:$P$43,4,0)/VLOOKUP(O98,Lookups!$M$10:$P$43,4,0)),"")</f>
        <v/>
      </c>
      <c r="Q98" s="160" t="s">
        <v>1580</v>
      </c>
      <c r="R98" s="15" t="s">
        <v>152</v>
      </c>
      <c r="S98" s="118"/>
      <c r="T98" s="134"/>
      <c r="U98" s="4"/>
      <c r="V98"/>
      <c r="W98"/>
    </row>
    <row r="99" spans="1:23" s="36" customFormat="1" ht="60" hidden="1" customHeight="1" outlineLevel="2" x14ac:dyDescent="0.25">
      <c r="A99" s="34" t="s">
        <v>177</v>
      </c>
      <c r="B99" s="34" t="s">
        <v>222</v>
      </c>
      <c r="C99" s="34" t="s">
        <v>1046</v>
      </c>
      <c r="D99" s="41" t="s">
        <v>1600</v>
      </c>
      <c r="E99" s="12" t="s">
        <v>170</v>
      </c>
      <c r="F99" s="12" t="s">
        <v>265</v>
      </c>
      <c r="G99" s="12" t="s">
        <v>696</v>
      </c>
      <c r="H99" s="14">
        <f>10+260+30+0+20+80</f>
        <v>400</v>
      </c>
      <c r="I99" s="15" t="s">
        <v>258</v>
      </c>
      <c r="J99" s="89">
        <f>IF(H99&gt;0,(H99*VLOOKUP(Lookups!$K$11,Lookups!$M$10:$P$43,4,0)/VLOOKUP(I99,Lookups!$M$10:$P$43,4,0)),"")</f>
        <v>462.75291224798104</v>
      </c>
      <c r="K99" s="14"/>
      <c r="L99" s="15"/>
      <c r="M99" s="89" t="str">
        <f>IF(K99&gt;0,(K99*VLOOKUP(Lookups!$K$11,Lookups!$M$10:$P$43,4,0)/VLOOKUP(L99,Lookups!$M$10:$P$43,4,0)),"")</f>
        <v/>
      </c>
      <c r="N99" s="14"/>
      <c r="O99" s="15"/>
      <c r="P99" s="89" t="str">
        <f>IF(N99&gt;0,(N99*VLOOKUP(Lookups!$K$11,Lookups!$M$10:$P$43,4,0)/VLOOKUP(O99,Lookups!$M$10:$P$43,4,0)),"")</f>
        <v/>
      </c>
      <c r="Q99" s="160" t="s">
        <v>1580</v>
      </c>
      <c r="R99" s="15" t="s">
        <v>152</v>
      </c>
      <c r="S99" s="118"/>
      <c r="T99" s="134"/>
      <c r="U99" s="4"/>
      <c r="V99"/>
      <c r="W99"/>
    </row>
    <row r="100" spans="1:23" s="36" customFormat="1" ht="60" hidden="1" customHeight="1" outlineLevel="2" x14ac:dyDescent="0.25">
      <c r="A100" s="34" t="s">
        <v>177</v>
      </c>
      <c r="B100" s="34" t="s">
        <v>222</v>
      </c>
      <c r="C100" s="34" t="s">
        <v>1047</v>
      </c>
      <c r="D100" s="41" t="s">
        <v>1601</v>
      </c>
      <c r="E100" s="12" t="s">
        <v>170</v>
      </c>
      <c r="F100" s="12" t="s">
        <v>205</v>
      </c>
      <c r="G100" s="12"/>
      <c r="H100" s="14">
        <v>140</v>
      </c>
      <c r="I100" s="15" t="s">
        <v>258</v>
      </c>
      <c r="J100" s="89">
        <f>IF(H100&gt;0,(H100*VLOOKUP(Lookups!$K$11,Lookups!$M$10:$P$43,4,0)/VLOOKUP(I100,Lookups!$M$10:$P$43,4,0)),"")</f>
        <v>161.9635192867934</v>
      </c>
      <c r="K100" s="14"/>
      <c r="L100" s="15"/>
      <c r="M100" s="89" t="str">
        <f>IF(K100&gt;0,(K100*VLOOKUP(Lookups!$K$11,Lookups!$M$10:$P$43,4,0)/VLOOKUP(L100,Lookups!$M$10:$P$43,4,0)),"")</f>
        <v/>
      </c>
      <c r="N100" s="14"/>
      <c r="O100" s="15"/>
      <c r="P100" s="89" t="str">
        <f>IF(N100&gt;0,(N100*VLOOKUP(Lookups!$K$11,Lookups!$M$10:$P$43,4,0)/VLOOKUP(O100,Lookups!$M$10:$P$43,4,0)),"")</f>
        <v/>
      </c>
      <c r="Q100" s="160" t="s">
        <v>1580</v>
      </c>
      <c r="R100" s="15" t="s">
        <v>152</v>
      </c>
      <c r="S100" s="118"/>
      <c r="T100" s="134"/>
      <c r="U100" s="4"/>
      <c r="V100"/>
      <c r="W100"/>
    </row>
    <row r="101" spans="1:23" s="36" customFormat="1" ht="60" hidden="1" customHeight="1" outlineLevel="2" x14ac:dyDescent="0.25">
      <c r="A101" s="34" t="s">
        <v>177</v>
      </c>
      <c r="B101" s="34" t="s">
        <v>222</v>
      </c>
      <c r="C101" s="34" t="s">
        <v>1048</v>
      </c>
      <c r="D101" s="41" t="s">
        <v>1602</v>
      </c>
      <c r="E101" s="12" t="s">
        <v>170</v>
      </c>
      <c r="F101" s="12" t="s">
        <v>243</v>
      </c>
      <c r="G101" s="12"/>
      <c r="H101" s="14">
        <v>20</v>
      </c>
      <c r="I101" s="15" t="s">
        <v>258</v>
      </c>
      <c r="J101" s="89">
        <f>IF(H101&gt;0,(H101*VLOOKUP(Lookups!$K$11,Lookups!$M$10:$P$43,4,0)/VLOOKUP(I101,Lookups!$M$10:$P$43,4,0)),"")</f>
        <v>23.137645612399055</v>
      </c>
      <c r="K101" s="14"/>
      <c r="L101" s="15"/>
      <c r="M101" s="89" t="str">
        <f>IF(K101&gt;0,(K101*VLOOKUP(Lookups!$K$11,Lookups!$M$10:$P$43,4,0)/VLOOKUP(L101,Lookups!$M$10:$P$43,4,0)),"")</f>
        <v/>
      </c>
      <c r="N101" s="14"/>
      <c r="O101" s="15"/>
      <c r="P101" s="89" t="str">
        <f>IF(N101&gt;0,(N101*VLOOKUP(Lookups!$K$11,Lookups!$M$10:$P$43,4,0)/VLOOKUP(O101,Lookups!$M$10:$P$43,4,0)),"")</f>
        <v/>
      </c>
      <c r="Q101" s="160" t="s">
        <v>1580</v>
      </c>
      <c r="R101" s="15" t="s">
        <v>152</v>
      </c>
      <c r="S101" s="118"/>
      <c r="T101" s="134"/>
      <c r="U101" s="4"/>
      <c r="V101"/>
      <c r="W101"/>
    </row>
    <row r="102" spans="1:23" s="36" customFormat="1" ht="60" hidden="1" customHeight="1" outlineLevel="2" x14ac:dyDescent="0.25">
      <c r="A102" s="34" t="s">
        <v>177</v>
      </c>
      <c r="B102" s="34" t="s">
        <v>222</v>
      </c>
      <c r="C102" s="34" t="s">
        <v>1049</v>
      </c>
      <c r="D102" s="41" t="s">
        <v>1603</v>
      </c>
      <c r="E102" s="12" t="s">
        <v>170</v>
      </c>
      <c r="F102" s="12" t="s">
        <v>162</v>
      </c>
      <c r="G102" s="12"/>
      <c r="H102" s="14">
        <v>390</v>
      </c>
      <c r="I102" s="15" t="s">
        <v>258</v>
      </c>
      <c r="J102" s="89">
        <f>IF(H102&gt;0,(H102*VLOOKUP(Lookups!$K$11,Lookups!$M$10:$P$43,4,0)/VLOOKUP(I102,Lookups!$M$10:$P$43,4,0)),"")</f>
        <v>451.18408944178151</v>
      </c>
      <c r="K102" s="14"/>
      <c r="L102" s="15"/>
      <c r="M102" s="89" t="str">
        <f>IF(K102&gt;0,(K102*VLOOKUP(Lookups!$K$11,Lookups!$M$10:$P$43,4,0)/VLOOKUP(L102,Lookups!$M$10:$P$43,4,0)),"")</f>
        <v/>
      </c>
      <c r="N102" s="14"/>
      <c r="O102" s="15"/>
      <c r="P102" s="89" t="str">
        <f>IF(N102&gt;0,(N102*VLOOKUP(Lookups!$K$11,Lookups!$M$10:$P$43,4,0)/VLOOKUP(O102,Lookups!$M$10:$P$43,4,0)),"")</f>
        <v/>
      </c>
      <c r="Q102" s="160" t="s">
        <v>1580</v>
      </c>
      <c r="R102" s="15" t="s">
        <v>152</v>
      </c>
      <c r="S102" s="118"/>
      <c r="T102" s="134"/>
      <c r="U102" s="4"/>
      <c r="V102"/>
      <c r="W102"/>
    </row>
    <row r="103" spans="1:23" s="36" customFormat="1" ht="60" hidden="1" customHeight="1" outlineLevel="2" x14ac:dyDescent="0.25">
      <c r="A103" s="34" t="s">
        <v>177</v>
      </c>
      <c r="B103" s="34" t="s">
        <v>222</v>
      </c>
      <c r="C103" s="34" t="s">
        <v>1049</v>
      </c>
      <c r="D103" s="41" t="s">
        <v>1604</v>
      </c>
      <c r="E103" s="12" t="s">
        <v>170</v>
      </c>
      <c r="F103" s="12" t="s">
        <v>1572</v>
      </c>
      <c r="G103" s="12"/>
      <c r="H103" s="14">
        <v>10</v>
      </c>
      <c r="I103" s="15" t="s">
        <v>258</v>
      </c>
      <c r="J103" s="89">
        <f>IF(H103&gt;0,(H103*VLOOKUP(Lookups!$K$11,Lookups!$M$10:$P$43,4,0)/VLOOKUP(I103,Lookups!$M$10:$P$43,4,0)),"")</f>
        <v>11.568822806199528</v>
      </c>
      <c r="K103" s="14"/>
      <c r="L103" s="15"/>
      <c r="M103" s="89" t="str">
        <f>IF(K103&gt;0,(K103*VLOOKUP(Lookups!$K$11,Lookups!$M$10:$P$43,4,0)/VLOOKUP(L103,Lookups!$M$10:$P$43,4,0)),"")</f>
        <v/>
      </c>
      <c r="N103" s="14"/>
      <c r="O103" s="15"/>
      <c r="P103" s="89" t="str">
        <f>IF(N103&gt;0,(N103*VLOOKUP(Lookups!$K$11,Lookups!$M$10:$P$43,4,0)/VLOOKUP(O103,Lookups!$M$10:$P$43,4,0)),"")</f>
        <v/>
      </c>
      <c r="Q103" s="160" t="s">
        <v>1580</v>
      </c>
      <c r="R103" s="15" t="s">
        <v>152</v>
      </c>
      <c r="S103" s="118"/>
      <c r="T103" s="134"/>
      <c r="U103" s="4"/>
      <c r="V103"/>
      <c r="W103"/>
    </row>
    <row r="104" spans="1:23" s="36" customFormat="1" ht="60" hidden="1" customHeight="1" outlineLevel="1" collapsed="1" x14ac:dyDescent="0.25">
      <c r="A104" s="42" t="s">
        <v>177</v>
      </c>
      <c r="B104" s="42" t="s">
        <v>222</v>
      </c>
      <c r="C104" s="42" t="s">
        <v>1050</v>
      </c>
      <c r="D104" s="42" t="s">
        <v>871</v>
      </c>
      <c r="E104" s="12" t="s">
        <v>170</v>
      </c>
      <c r="F104" s="12" t="s">
        <v>243</v>
      </c>
      <c r="G104" s="12"/>
      <c r="H104" s="14">
        <v>5450</v>
      </c>
      <c r="I104" s="15" t="s">
        <v>258</v>
      </c>
      <c r="J104" s="89">
        <f>IF(H104&gt;0,(H104*VLOOKUP(Lookups!$K$11,Lookups!$M$10:$P$43,4,0)/VLOOKUP(I104,Lookups!$M$10:$P$43,4,0)),"")</f>
        <v>6305.0084293787422</v>
      </c>
      <c r="K104" s="14">
        <v>2280</v>
      </c>
      <c r="L104" s="15" t="s">
        <v>258</v>
      </c>
      <c r="M104" s="89">
        <f>IF(K104&gt;0,(K104*VLOOKUP(Lookups!$K$11,Lookups!$M$10:$P$43,4,0)/VLOOKUP(L104,Lookups!$M$10:$P$43,4,0)),"")</f>
        <v>2637.6915998134923</v>
      </c>
      <c r="N104" s="14">
        <v>3590</v>
      </c>
      <c r="O104" s="15" t="s">
        <v>258</v>
      </c>
      <c r="P104" s="89">
        <f>IF(N104&gt;0,(N104*VLOOKUP(Lookups!$K$11,Lookups!$M$10:$P$43,4,0)/VLOOKUP(O104,Lookups!$M$10:$P$43,4,0)),"")</f>
        <v>4153.2073874256303</v>
      </c>
      <c r="Q104" s="160" t="s">
        <v>1580</v>
      </c>
      <c r="R104" s="15" t="s">
        <v>152</v>
      </c>
      <c r="S104" s="4" t="s">
        <v>1680</v>
      </c>
      <c r="T104" s="134"/>
      <c r="U104" s="4"/>
      <c r="V104"/>
      <c r="W104"/>
    </row>
    <row r="105" spans="1:23" s="36" customFormat="1" ht="60" hidden="1" customHeight="1" outlineLevel="2" x14ac:dyDescent="0.25">
      <c r="A105" s="34" t="s">
        <v>177</v>
      </c>
      <c r="B105" s="34" t="s">
        <v>222</v>
      </c>
      <c r="C105" s="34" t="s">
        <v>1051</v>
      </c>
      <c r="D105" s="41" t="s">
        <v>973</v>
      </c>
      <c r="E105" s="12" t="s">
        <v>170</v>
      </c>
      <c r="F105" s="12" t="s">
        <v>632</v>
      </c>
      <c r="G105" s="12"/>
      <c r="H105" s="14">
        <v>1010</v>
      </c>
      <c r="I105" s="15" t="s">
        <v>258</v>
      </c>
      <c r="J105" s="89">
        <f>IF(H105&gt;0,(H105*VLOOKUP(Lookups!$K$11,Lookups!$M$10:$P$43,4,0)/VLOOKUP(I105,Lookups!$M$10:$P$43,4,0)),"")</f>
        <v>1168.4511034261523</v>
      </c>
      <c r="K105" s="14"/>
      <c r="L105" s="15"/>
      <c r="M105" s="89" t="str">
        <f>IF(K105&gt;0,(K105*VLOOKUP(Lookups!$K$11,Lookups!$M$10:$P$43,4,0)/VLOOKUP(L105,Lookups!$M$10:$P$43,4,0)),"")</f>
        <v/>
      </c>
      <c r="N105" s="14"/>
      <c r="O105" s="15"/>
      <c r="P105" s="89" t="str">
        <f>IF(N105&gt;0,(N105*VLOOKUP(Lookups!$K$11,Lookups!$M$10:$P$43,4,0)/VLOOKUP(O105,Lookups!$M$10:$P$43,4,0)),"")</f>
        <v/>
      </c>
      <c r="Q105" s="160" t="s">
        <v>1580</v>
      </c>
      <c r="R105" s="15" t="s">
        <v>152</v>
      </c>
      <c r="S105" s="118"/>
      <c r="T105" s="134"/>
      <c r="U105" s="4"/>
      <c r="V105"/>
      <c r="W105"/>
    </row>
    <row r="106" spans="1:23" s="36" customFormat="1" ht="60" hidden="1" customHeight="1" outlineLevel="2" x14ac:dyDescent="0.25">
      <c r="A106" s="34" t="s">
        <v>177</v>
      </c>
      <c r="B106" s="34" t="s">
        <v>222</v>
      </c>
      <c r="C106" s="34" t="s">
        <v>1052</v>
      </c>
      <c r="D106" s="41" t="s">
        <v>981</v>
      </c>
      <c r="E106" s="12" t="s">
        <v>170</v>
      </c>
      <c r="F106" s="12" t="s">
        <v>199</v>
      </c>
      <c r="G106" s="12"/>
      <c r="H106" s="14">
        <v>170</v>
      </c>
      <c r="I106" s="15" t="s">
        <v>258</v>
      </c>
      <c r="J106" s="89">
        <f>IF(H106&gt;0,(H106*VLOOKUP(Lookups!$K$11,Lookups!$M$10:$P$43,4,0)/VLOOKUP(I106,Lookups!$M$10:$P$43,4,0)),"")</f>
        <v>196.66998770539197</v>
      </c>
      <c r="K106" s="14"/>
      <c r="L106" s="15"/>
      <c r="M106" s="89" t="str">
        <f>IF(K106&gt;0,(K106*VLOOKUP(Lookups!$K$11,Lookups!$M$10:$P$43,4,0)/VLOOKUP(L106,Lookups!$M$10:$P$43,4,0)),"")</f>
        <v/>
      </c>
      <c r="N106" s="14"/>
      <c r="O106" s="15"/>
      <c r="P106" s="89" t="str">
        <f>IF(N106&gt;0,(N106*VLOOKUP(Lookups!$K$11,Lookups!$M$10:$P$43,4,0)/VLOOKUP(O106,Lookups!$M$10:$P$43,4,0)),"")</f>
        <v/>
      </c>
      <c r="Q106" s="160" t="s">
        <v>1580</v>
      </c>
      <c r="R106" s="15" t="s">
        <v>152</v>
      </c>
      <c r="S106" s="118"/>
      <c r="T106" s="134"/>
      <c r="U106" s="4"/>
      <c r="V106"/>
      <c r="W106"/>
    </row>
    <row r="107" spans="1:23" s="36" customFormat="1" ht="60" hidden="1" customHeight="1" outlineLevel="2" x14ac:dyDescent="0.25">
      <c r="A107" s="34" t="s">
        <v>177</v>
      </c>
      <c r="B107" s="34" t="s">
        <v>222</v>
      </c>
      <c r="C107" s="34" t="s">
        <v>1053</v>
      </c>
      <c r="D107" s="41" t="s">
        <v>888</v>
      </c>
      <c r="E107" s="12" t="s">
        <v>170</v>
      </c>
      <c r="F107" s="12" t="s">
        <v>265</v>
      </c>
      <c r="G107" s="12" t="s">
        <v>696</v>
      </c>
      <c r="H107" s="14">
        <f>60+1900+70+10+120+190</f>
        <v>2350</v>
      </c>
      <c r="I107" s="15" t="s">
        <v>258</v>
      </c>
      <c r="J107" s="89">
        <f>IF(H107&gt;0,(H107*VLOOKUP(Lookups!$K$11,Lookups!$M$10:$P$43,4,0)/VLOOKUP(I107,Lookups!$M$10:$P$43,4,0)),"")</f>
        <v>2718.6733594568891</v>
      </c>
      <c r="K107" s="14"/>
      <c r="L107" s="15"/>
      <c r="M107" s="89" t="str">
        <f>IF(K107&gt;0,(K107*VLOOKUP(Lookups!$K$11,Lookups!$M$10:$P$43,4,0)/VLOOKUP(L107,Lookups!$M$10:$P$43,4,0)),"")</f>
        <v/>
      </c>
      <c r="N107" s="14"/>
      <c r="O107" s="15"/>
      <c r="P107" s="89" t="str">
        <f>IF(N107&gt;0,(N107*VLOOKUP(Lookups!$K$11,Lookups!$M$10:$P$43,4,0)/VLOOKUP(O107,Lookups!$M$10:$P$43,4,0)),"")</f>
        <v/>
      </c>
      <c r="Q107" s="160" t="s">
        <v>1580</v>
      </c>
      <c r="R107" s="15" t="s">
        <v>152</v>
      </c>
      <c r="S107" s="118"/>
      <c r="T107" s="134"/>
      <c r="U107" s="4"/>
      <c r="V107"/>
      <c r="W107"/>
    </row>
    <row r="108" spans="1:23" s="36" customFormat="1" ht="60" hidden="1" customHeight="1" outlineLevel="2" x14ac:dyDescent="0.25">
      <c r="A108" s="34" t="s">
        <v>177</v>
      </c>
      <c r="B108" s="34" t="s">
        <v>222</v>
      </c>
      <c r="C108" s="34" t="s">
        <v>1054</v>
      </c>
      <c r="D108" s="41" t="s">
        <v>893</v>
      </c>
      <c r="E108" s="12" t="s">
        <v>170</v>
      </c>
      <c r="F108" s="12" t="s">
        <v>205</v>
      </c>
      <c r="G108" s="12"/>
      <c r="H108" s="14">
        <v>950</v>
      </c>
      <c r="I108" s="15" t="s">
        <v>258</v>
      </c>
      <c r="J108" s="89">
        <f>IF(H108&gt;0,(H108*VLOOKUP(Lookups!$K$11,Lookups!$M$10:$P$43,4,0)/VLOOKUP(I108,Lookups!$M$10:$P$43,4,0)),"")</f>
        <v>1099.0381665889552</v>
      </c>
      <c r="K108" s="14"/>
      <c r="L108" s="15"/>
      <c r="M108" s="89" t="str">
        <f>IF(K108&gt;0,(K108*VLOOKUP(Lookups!$K$11,Lookups!$M$10:$P$43,4,0)/VLOOKUP(L108,Lookups!$M$10:$P$43,4,0)),"")</f>
        <v/>
      </c>
      <c r="N108" s="14"/>
      <c r="O108" s="15"/>
      <c r="P108" s="89" t="str">
        <f>IF(N108&gt;0,(N108*VLOOKUP(Lookups!$K$11,Lookups!$M$10:$P$43,4,0)/VLOOKUP(O108,Lookups!$M$10:$P$43,4,0)),"")</f>
        <v/>
      </c>
      <c r="Q108" s="160" t="s">
        <v>1580</v>
      </c>
      <c r="R108" s="15" t="s">
        <v>152</v>
      </c>
      <c r="S108" s="118"/>
      <c r="T108" s="134"/>
      <c r="U108" s="4"/>
      <c r="V108"/>
      <c r="W108"/>
    </row>
    <row r="109" spans="1:23" s="36" customFormat="1" ht="60" hidden="1" customHeight="1" outlineLevel="2" x14ac:dyDescent="0.25">
      <c r="A109" s="34" t="s">
        <v>177</v>
      </c>
      <c r="B109" s="34" t="s">
        <v>222</v>
      </c>
      <c r="C109" s="34" t="s">
        <v>1055</v>
      </c>
      <c r="D109" s="41" t="s">
        <v>837</v>
      </c>
      <c r="E109" s="12" t="s">
        <v>170</v>
      </c>
      <c r="F109" s="12" t="s">
        <v>243</v>
      </c>
      <c r="G109" s="12"/>
      <c r="H109" s="14">
        <f>210</f>
        <v>210</v>
      </c>
      <c r="I109" s="15" t="s">
        <v>258</v>
      </c>
      <c r="J109" s="89">
        <f>IF(H109&gt;0,(H109*VLOOKUP(Lookups!$K$11,Lookups!$M$10:$P$43,4,0)/VLOOKUP(I109,Lookups!$M$10:$P$43,4,0)),"")</f>
        <v>242.94527893019006</v>
      </c>
      <c r="K109" s="14"/>
      <c r="L109" s="15"/>
      <c r="M109" s="89" t="str">
        <f>IF(K109&gt;0,(K109*VLOOKUP(Lookups!$K$11,Lookups!$M$10:$P$43,4,0)/VLOOKUP(L109,Lookups!$M$10:$P$43,4,0)),"")</f>
        <v/>
      </c>
      <c r="N109" s="14"/>
      <c r="O109" s="15"/>
      <c r="P109" s="89" t="str">
        <f>IF(N109&gt;0,(N109*VLOOKUP(Lookups!$K$11,Lookups!$M$10:$P$43,4,0)/VLOOKUP(O109,Lookups!$M$10:$P$43,4,0)),"")</f>
        <v/>
      </c>
      <c r="Q109" s="160" t="s">
        <v>1580</v>
      </c>
      <c r="R109" s="15" t="s">
        <v>152</v>
      </c>
      <c r="S109" s="118"/>
      <c r="T109" s="134"/>
      <c r="U109" s="4"/>
      <c r="V109"/>
      <c r="W109"/>
    </row>
    <row r="110" spans="1:23" s="36" customFormat="1" ht="60" hidden="1" customHeight="1" outlineLevel="2" x14ac:dyDescent="0.25">
      <c r="A110" s="34" t="s">
        <v>177</v>
      </c>
      <c r="B110" s="34" t="s">
        <v>222</v>
      </c>
      <c r="C110" s="34" t="s">
        <v>1056</v>
      </c>
      <c r="D110" s="41" t="s">
        <v>898</v>
      </c>
      <c r="E110" s="12" t="s">
        <v>170</v>
      </c>
      <c r="F110" s="12" t="s">
        <v>162</v>
      </c>
      <c r="G110" s="12"/>
      <c r="H110" s="14">
        <v>760</v>
      </c>
      <c r="I110" s="15" t="s">
        <v>258</v>
      </c>
      <c r="J110" s="89">
        <f>IF(H110&gt;0,(H110*VLOOKUP(Lookups!$K$11,Lookups!$M$10:$P$43,4,0)/VLOOKUP(I110,Lookups!$M$10:$P$43,4,0)),"")</f>
        <v>879.23053327116395</v>
      </c>
      <c r="K110" s="14"/>
      <c r="L110" s="15"/>
      <c r="M110" s="89" t="str">
        <f>IF(K110&gt;0,(K110*VLOOKUP(Lookups!$K$11,Lookups!$M$10:$P$43,4,0)/VLOOKUP(L110,Lookups!$M$10:$P$43,4,0)),"")</f>
        <v/>
      </c>
      <c r="N110" s="14"/>
      <c r="O110" s="15"/>
      <c r="P110" s="89" t="str">
        <f>IF(N110&gt;0,(N110*VLOOKUP(Lookups!$K$11,Lookups!$M$10:$P$43,4,0)/VLOOKUP(O110,Lookups!$M$10:$P$43,4,0)),"")</f>
        <v/>
      </c>
      <c r="Q110" s="160" t="s">
        <v>1580</v>
      </c>
      <c r="R110" s="15" t="s">
        <v>152</v>
      </c>
      <c r="S110" s="118"/>
      <c r="T110" s="134"/>
      <c r="U110" s="4"/>
      <c r="V110"/>
      <c r="W110"/>
    </row>
    <row r="111" spans="1:23" s="36" customFormat="1" ht="60" hidden="1" customHeight="1" outlineLevel="2" x14ac:dyDescent="0.25">
      <c r="A111" s="34" t="s">
        <v>177</v>
      </c>
      <c r="B111" s="34" t="s">
        <v>222</v>
      </c>
      <c r="C111" s="34" t="s">
        <v>1695</v>
      </c>
      <c r="D111" s="41" t="s">
        <v>1605</v>
      </c>
      <c r="E111" s="12" t="s">
        <v>170</v>
      </c>
      <c r="F111" s="12" t="s">
        <v>1572</v>
      </c>
      <c r="G111" s="12"/>
      <c r="H111" s="14">
        <v>10</v>
      </c>
      <c r="I111" s="15" t="s">
        <v>258</v>
      </c>
      <c r="J111" s="89">
        <f>IF(H111&gt;0,(H111*VLOOKUP(Lookups!$K$11,Lookups!$M$10:$P$43,4,0)/VLOOKUP(I111,Lookups!$M$10:$P$43,4,0)),"")</f>
        <v>11.568822806199528</v>
      </c>
      <c r="K111" s="14"/>
      <c r="L111" s="15"/>
      <c r="M111" s="89" t="str">
        <f>IF(K111&gt;0,(K111*VLOOKUP(Lookups!$K$11,Lookups!$M$10:$P$43,4,0)/VLOOKUP(L111,Lookups!$M$10:$P$43,4,0)),"")</f>
        <v/>
      </c>
      <c r="N111" s="14"/>
      <c r="O111" s="15"/>
      <c r="P111" s="89" t="str">
        <f>IF(N111&gt;0,(N111*VLOOKUP(Lookups!$K$11,Lookups!$M$10:$P$43,4,0)/VLOOKUP(O111,Lookups!$M$10:$P$43,4,0)),"")</f>
        <v/>
      </c>
      <c r="Q111" s="160" t="s">
        <v>1580</v>
      </c>
      <c r="R111" s="15" t="s">
        <v>152</v>
      </c>
      <c r="S111" s="118"/>
      <c r="T111" s="134"/>
      <c r="U111" s="4"/>
      <c r="V111"/>
      <c r="W111"/>
    </row>
    <row r="112" spans="1:23" s="36" customFormat="1" ht="60" hidden="1" customHeight="1" outlineLevel="1" collapsed="1" x14ac:dyDescent="0.25">
      <c r="A112" s="42" t="s">
        <v>177</v>
      </c>
      <c r="B112" s="42" t="s">
        <v>169</v>
      </c>
      <c r="C112" s="42" t="s">
        <v>1057</v>
      </c>
      <c r="D112" s="42" t="s">
        <v>1607</v>
      </c>
      <c r="E112" s="12" t="s">
        <v>170</v>
      </c>
      <c r="F112" s="12" t="s">
        <v>147</v>
      </c>
      <c r="G112" s="12"/>
      <c r="H112" s="14">
        <v>2180</v>
      </c>
      <c r="I112" s="15" t="s">
        <v>258</v>
      </c>
      <c r="J112" s="89">
        <f>IF(H112&gt;0,(H112*VLOOKUP(Lookups!$K$11,Lookups!$M$10:$P$43,4,0)/VLOOKUP(I112,Lookups!$M$10:$P$43,4,0)),"")</f>
        <v>2522.0033717514966</v>
      </c>
      <c r="K112" s="14">
        <v>2550</v>
      </c>
      <c r="L112" s="15" t="s">
        <v>258</v>
      </c>
      <c r="M112" s="89">
        <f>IF(K112&gt;0,(K112*VLOOKUP(Lookups!$K$11,Lookups!$M$10:$P$43,4,0)/VLOOKUP(L112,Lookups!$M$10:$P$43,4,0)),"")</f>
        <v>2950.0498155808796</v>
      </c>
      <c r="N112" s="14">
        <v>1190</v>
      </c>
      <c r="O112" s="15" t="s">
        <v>258</v>
      </c>
      <c r="P112" s="89">
        <f>IF(N112&gt;0,(N112*VLOOKUP(Lookups!$K$11,Lookups!$M$10:$P$43,4,0)/VLOOKUP(O112,Lookups!$M$10:$P$43,4,0)),"")</f>
        <v>1376.6899139377438</v>
      </c>
      <c r="Q112" s="160" t="s">
        <v>1580</v>
      </c>
      <c r="R112" s="15" t="s">
        <v>152</v>
      </c>
      <c r="S112" s="4" t="s">
        <v>1681</v>
      </c>
      <c r="T112" s="134"/>
      <c r="U112" s="4"/>
      <c r="V112"/>
      <c r="W112"/>
    </row>
    <row r="113" spans="1:23" s="36" customFormat="1" ht="60" hidden="1" customHeight="1" outlineLevel="2" x14ac:dyDescent="0.25">
      <c r="A113" s="34" t="s">
        <v>177</v>
      </c>
      <c r="B113" s="34" t="s">
        <v>169</v>
      </c>
      <c r="C113" s="34" t="s">
        <v>1058</v>
      </c>
      <c r="D113" s="41" t="s">
        <v>1606</v>
      </c>
      <c r="E113" s="12" t="s">
        <v>170</v>
      </c>
      <c r="F113" s="12" t="s">
        <v>632</v>
      </c>
      <c r="G113" s="12"/>
      <c r="H113" s="14">
        <v>530</v>
      </c>
      <c r="I113" s="15" t="s">
        <v>258</v>
      </c>
      <c r="J113" s="89">
        <f>IF(H113&gt;0,(H113*VLOOKUP(Lookups!$K$11,Lookups!$M$10:$P$43,4,0)/VLOOKUP(I113,Lookups!$M$10:$P$43,4,0)),"")</f>
        <v>613.14760872857494</v>
      </c>
      <c r="K113" s="14"/>
      <c r="L113" s="15"/>
      <c r="M113" s="89" t="str">
        <f>IF(K113&gt;0,(K113*VLOOKUP(Lookups!$K$11,Lookups!$M$10:$P$43,4,0)/VLOOKUP(L113,Lookups!$M$10:$P$43,4,0)),"")</f>
        <v/>
      </c>
      <c r="N113" s="14"/>
      <c r="O113" s="15"/>
      <c r="P113" s="89" t="str">
        <f>IF(N113&gt;0,(N113*VLOOKUP(Lookups!$K$11,Lookups!$M$10:$P$43,4,0)/VLOOKUP(O113,Lookups!$M$10:$P$43,4,0)),"")</f>
        <v/>
      </c>
      <c r="Q113" s="160" t="s">
        <v>1580</v>
      </c>
      <c r="R113" s="15" t="s">
        <v>152</v>
      </c>
      <c r="S113" s="118"/>
      <c r="T113" s="134"/>
      <c r="U113" s="4"/>
      <c r="V113"/>
      <c r="W113"/>
    </row>
    <row r="114" spans="1:23" s="36" customFormat="1" ht="60" hidden="1" customHeight="1" outlineLevel="2" x14ac:dyDescent="0.25">
      <c r="A114" s="34" t="s">
        <v>177</v>
      </c>
      <c r="B114" s="34" t="s">
        <v>169</v>
      </c>
      <c r="C114" s="34" t="s">
        <v>1059</v>
      </c>
      <c r="D114" s="41" t="s">
        <v>1608</v>
      </c>
      <c r="E114" s="12" t="s">
        <v>170</v>
      </c>
      <c r="F114" s="12" t="s">
        <v>199</v>
      </c>
      <c r="G114" s="12"/>
      <c r="H114" s="14">
        <v>60</v>
      </c>
      <c r="I114" s="15" t="s">
        <v>258</v>
      </c>
      <c r="J114" s="89">
        <f>IF(H114&gt;0,(H114*VLOOKUP(Lookups!$K$11,Lookups!$M$10:$P$43,4,0)/VLOOKUP(I114,Lookups!$M$10:$P$43,4,0)),"")</f>
        <v>69.412936837197165</v>
      </c>
      <c r="K114" s="14"/>
      <c r="L114" s="15"/>
      <c r="M114" s="89" t="str">
        <f>IF(K114&gt;0,(K114*VLOOKUP(Lookups!$K$11,Lookups!$M$10:$P$43,4,0)/VLOOKUP(L114,Lookups!$M$10:$P$43,4,0)),"")</f>
        <v/>
      </c>
      <c r="N114" s="14"/>
      <c r="O114" s="15"/>
      <c r="P114" s="89" t="str">
        <f>IF(N114&gt;0,(N114*VLOOKUP(Lookups!$K$11,Lookups!$M$10:$P$43,4,0)/VLOOKUP(O114,Lookups!$M$10:$P$43,4,0)),"")</f>
        <v/>
      </c>
      <c r="Q114" s="160" t="s">
        <v>1580</v>
      </c>
      <c r="R114" s="15" t="s">
        <v>152</v>
      </c>
      <c r="S114" s="118"/>
      <c r="T114" s="134"/>
      <c r="U114" s="4"/>
      <c r="V114"/>
      <c r="W114"/>
    </row>
    <row r="115" spans="1:23" s="36" customFormat="1" ht="60" hidden="1" customHeight="1" outlineLevel="2" x14ac:dyDescent="0.25">
      <c r="A115" s="34" t="s">
        <v>177</v>
      </c>
      <c r="B115" s="34" t="s">
        <v>169</v>
      </c>
      <c r="C115" s="34" t="s">
        <v>1060</v>
      </c>
      <c r="D115" s="41" t="s">
        <v>1609</v>
      </c>
      <c r="E115" s="12" t="s">
        <v>170</v>
      </c>
      <c r="F115" s="12" t="s">
        <v>265</v>
      </c>
      <c r="G115" s="12" t="s">
        <v>696</v>
      </c>
      <c r="H115" s="14">
        <f>20+710+30+10+40+40</f>
        <v>850</v>
      </c>
      <c r="I115" s="15" t="s">
        <v>258</v>
      </c>
      <c r="J115" s="89">
        <f>IF(H115&gt;0,(H115*VLOOKUP(Lookups!$K$11,Lookups!$M$10:$P$43,4,0)/VLOOKUP(I115,Lookups!$M$10:$P$43,4,0)),"")</f>
        <v>983.34993852695993</v>
      </c>
      <c r="K115" s="14"/>
      <c r="L115" s="15"/>
      <c r="M115" s="89" t="str">
        <f>IF(K115&gt;0,(K115*VLOOKUP(Lookups!$K$11,Lookups!$M$10:$P$43,4,0)/VLOOKUP(L115,Lookups!$M$10:$P$43,4,0)),"")</f>
        <v/>
      </c>
      <c r="N115" s="14"/>
      <c r="O115" s="15"/>
      <c r="P115" s="89" t="str">
        <f>IF(N115&gt;0,(N115*VLOOKUP(Lookups!$K$11,Lookups!$M$10:$P$43,4,0)/VLOOKUP(O115,Lookups!$M$10:$P$43,4,0)),"")</f>
        <v/>
      </c>
      <c r="Q115" s="160" t="s">
        <v>1580</v>
      </c>
      <c r="R115" s="15" t="s">
        <v>152</v>
      </c>
      <c r="S115" s="118"/>
      <c r="T115" s="134"/>
      <c r="U115" s="4"/>
      <c r="V115"/>
      <c r="W115"/>
    </row>
    <row r="116" spans="1:23" s="36" customFormat="1" ht="60" hidden="1" customHeight="1" outlineLevel="2" x14ac:dyDescent="0.25">
      <c r="A116" s="34" t="s">
        <v>177</v>
      </c>
      <c r="B116" s="34" t="s">
        <v>169</v>
      </c>
      <c r="C116" s="34" t="s">
        <v>1061</v>
      </c>
      <c r="D116" s="41" t="s">
        <v>1610</v>
      </c>
      <c r="E116" s="12" t="s">
        <v>170</v>
      </c>
      <c r="F116" s="12" t="s">
        <v>205</v>
      </c>
      <c r="G116" s="12"/>
      <c r="H116" s="14">
        <v>290</v>
      </c>
      <c r="I116" s="15" t="s">
        <v>258</v>
      </c>
      <c r="J116" s="89">
        <f>IF(H116&gt;0,(H116*VLOOKUP(Lookups!$K$11,Lookups!$M$10:$P$43,4,0)/VLOOKUP(I116,Lookups!$M$10:$P$43,4,0)),"")</f>
        <v>335.49586137978633</v>
      </c>
      <c r="K116" s="14"/>
      <c r="L116" s="15"/>
      <c r="M116" s="89" t="str">
        <f>IF(K116&gt;0,(K116*VLOOKUP(Lookups!$K$11,Lookups!$M$10:$P$43,4,0)/VLOOKUP(L116,Lookups!$M$10:$P$43,4,0)),"")</f>
        <v/>
      </c>
      <c r="N116" s="14"/>
      <c r="O116" s="15"/>
      <c r="P116" s="89" t="str">
        <f>IF(N116&gt;0,(N116*VLOOKUP(Lookups!$K$11,Lookups!$M$10:$P$43,4,0)/VLOOKUP(O116,Lookups!$M$10:$P$43,4,0)),"")</f>
        <v/>
      </c>
      <c r="Q116" s="160" t="s">
        <v>1580</v>
      </c>
      <c r="R116" s="15" t="s">
        <v>152</v>
      </c>
      <c r="S116" s="118"/>
      <c r="T116" s="134"/>
      <c r="U116" s="4"/>
      <c r="V116"/>
      <c r="W116"/>
    </row>
    <row r="117" spans="1:23" s="36" customFormat="1" ht="60" hidden="1" customHeight="1" outlineLevel="2" x14ac:dyDescent="0.25">
      <c r="A117" s="34" t="s">
        <v>177</v>
      </c>
      <c r="B117" s="34" t="s">
        <v>169</v>
      </c>
      <c r="C117" s="34" t="s">
        <v>1062</v>
      </c>
      <c r="D117" s="41" t="s">
        <v>1611</v>
      </c>
      <c r="E117" s="12" t="s">
        <v>170</v>
      </c>
      <c r="F117" s="12" t="s">
        <v>243</v>
      </c>
      <c r="G117" s="12"/>
      <c r="H117" s="14">
        <v>70</v>
      </c>
      <c r="I117" s="15" t="s">
        <v>258</v>
      </c>
      <c r="J117" s="89">
        <f>IF(H117&gt;0,(H117*VLOOKUP(Lookups!$K$11,Lookups!$M$10:$P$43,4,0)/VLOOKUP(I117,Lookups!$M$10:$P$43,4,0)),"")</f>
        <v>80.9817596433967</v>
      </c>
      <c r="K117" s="14"/>
      <c r="L117" s="15"/>
      <c r="M117" s="89" t="str">
        <f>IF(K117&gt;0,(K117*VLOOKUP(Lookups!$K$11,Lookups!$M$10:$P$43,4,0)/VLOOKUP(L117,Lookups!$M$10:$P$43,4,0)),"")</f>
        <v/>
      </c>
      <c r="N117" s="14"/>
      <c r="O117" s="15"/>
      <c r="P117" s="89" t="str">
        <f>IF(N117&gt;0,(N117*VLOOKUP(Lookups!$K$11,Lookups!$M$10:$P$43,4,0)/VLOOKUP(O117,Lookups!$M$10:$P$43,4,0)),"")</f>
        <v/>
      </c>
      <c r="Q117" s="160" t="s">
        <v>1580</v>
      </c>
      <c r="R117" s="15" t="s">
        <v>152</v>
      </c>
      <c r="S117" s="118"/>
      <c r="T117" s="134"/>
      <c r="U117" s="4"/>
      <c r="V117"/>
      <c r="W117"/>
    </row>
    <row r="118" spans="1:23" s="36" customFormat="1" ht="60" hidden="1" customHeight="1" outlineLevel="2" x14ac:dyDescent="0.25">
      <c r="A118" s="34" t="s">
        <v>177</v>
      </c>
      <c r="B118" s="34" t="s">
        <v>169</v>
      </c>
      <c r="C118" s="34" t="s">
        <v>1696</v>
      </c>
      <c r="D118" s="41" t="s">
        <v>1612</v>
      </c>
      <c r="E118" s="12" t="s">
        <v>170</v>
      </c>
      <c r="F118" s="12" t="s">
        <v>162</v>
      </c>
      <c r="G118" s="12"/>
      <c r="H118" s="14">
        <v>380</v>
      </c>
      <c r="I118" s="15" t="s">
        <v>258</v>
      </c>
      <c r="J118" s="89">
        <f>IF(H118&gt;0,(H118*VLOOKUP(Lookups!$K$11,Lookups!$M$10:$P$43,4,0)/VLOOKUP(I118,Lookups!$M$10:$P$43,4,0)),"")</f>
        <v>439.61526663558197</v>
      </c>
      <c r="K118" s="14"/>
      <c r="L118" s="15"/>
      <c r="M118" s="89" t="str">
        <f>IF(K118&gt;0,(K118*VLOOKUP(Lookups!$K$11,Lookups!$M$10:$P$43,4,0)/VLOOKUP(L118,Lookups!$M$10:$P$43,4,0)),"")</f>
        <v/>
      </c>
      <c r="N118" s="14"/>
      <c r="O118" s="15"/>
      <c r="P118" s="89" t="str">
        <f>IF(N118&gt;0,(N118*VLOOKUP(Lookups!$K$11,Lookups!$M$10:$P$43,4,0)/VLOOKUP(O118,Lookups!$M$10:$P$43,4,0)),"")</f>
        <v/>
      </c>
      <c r="Q118" s="160" t="s">
        <v>1580</v>
      </c>
      <c r="R118" s="15" t="s">
        <v>152</v>
      </c>
      <c r="S118" s="118"/>
      <c r="T118" s="134"/>
      <c r="U118" s="4"/>
      <c r="V118"/>
      <c r="W118"/>
    </row>
    <row r="119" spans="1:23" s="36" customFormat="1" ht="60" hidden="1" customHeight="1" outlineLevel="1" collapsed="1" x14ac:dyDescent="0.25">
      <c r="A119" s="42" t="s">
        <v>177</v>
      </c>
      <c r="B119" s="42" t="s">
        <v>169</v>
      </c>
      <c r="C119" s="42" t="s">
        <v>1063</v>
      </c>
      <c r="D119" s="42" t="s">
        <v>872</v>
      </c>
      <c r="E119" s="12" t="s">
        <v>170</v>
      </c>
      <c r="F119" s="12" t="s">
        <v>147</v>
      </c>
      <c r="G119" s="12"/>
      <c r="H119" s="14">
        <v>4000</v>
      </c>
      <c r="I119" s="15" t="s">
        <v>258</v>
      </c>
      <c r="J119" s="89">
        <f>IF(H119&gt;0,(H119*VLOOKUP(Lookups!$K$11,Lookups!$M$10:$P$43,4,0)/VLOOKUP(I119,Lookups!$M$10:$P$43,4,0)),"")</f>
        <v>4627.5291224798111</v>
      </c>
      <c r="K119" s="14">
        <v>6020</v>
      </c>
      <c r="L119" s="15" t="s">
        <v>258</v>
      </c>
      <c r="M119" s="89">
        <f>IF(K119&gt;0,(K119*VLOOKUP(Lookups!$K$11,Lookups!$M$10:$P$43,4,0)/VLOOKUP(L119,Lookups!$M$10:$P$43,4,0)),"")</f>
        <v>6964.4313293321156</v>
      </c>
      <c r="N119" s="14">
        <v>270</v>
      </c>
      <c r="O119" s="15" t="s">
        <v>258</v>
      </c>
      <c r="P119" s="89">
        <f>IF(N119&gt;0,(N119*VLOOKUP(Lookups!$K$11,Lookups!$M$10:$P$43,4,0)/VLOOKUP(O119,Lookups!$M$10:$P$43,4,0)),"")</f>
        <v>312.35821576738726</v>
      </c>
      <c r="Q119" s="160" t="s">
        <v>1580</v>
      </c>
      <c r="R119" s="15" t="s">
        <v>152</v>
      </c>
      <c r="S119" s="4" t="s">
        <v>1683</v>
      </c>
      <c r="T119" s="134"/>
      <c r="U119" s="4"/>
      <c r="V119"/>
      <c r="W119"/>
    </row>
    <row r="120" spans="1:23" s="36" customFormat="1" ht="60" hidden="1" customHeight="1" outlineLevel="2" x14ac:dyDescent="0.25">
      <c r="A120" s="34" t="s">
        <v>177</v>
      </c>
      <c r="B120" s="34" t="s">
        <v>169</v>
      </c>
      <c r="C120" s="34" t="s">
        <v>1064</v>
      </c>
      <c r="D120" s="41" t="s">
        <v>974</v>
      </c>
      <c r="E120" s="12" t="s">
        <v>170</v>
      </c>
      <c r="F120" s="12" t="s">
        <v>632</v>
      </c>
      <c r="G120" s="12"/>
      <c r="H120" s="14">
        <v>2030</v>
      </c>
      <c r="I120" s="15" t="s">
        <v>258</v>
      </c>
      <c r="J120" s="89">
        <f>IF(H120&gt;0,(H120*VLOOKUP(Lookups!$K$11,Lookups!$M$10:$P$43,4,0)/VLOOKUP(I120,Lookups!$M$10:$P$43,4,0)),"")</f>
        <v>2348.471029658504</v>
      </c>
      <c r="K120" s="14"/>
      <c r="L120" s="15"/>
      <c r="M120" s="89" t="str">
        <f>IF(K120&gt;0,(K120*VLOOKUP(Lookups!$K$11,Lookups!$M$10:$P$43,4,0)/VLOOKUP(L120,Lookups!$M$10:$P$43,4,0)),"")</f>
        <v/>
      </c>
      <c r="N120" s="14"/>
      <c r="O120" s="15"/>
      <c r="P120" s="89" t="str">
        <f>IF(N120&gt;0,(N120*VLOOKUP(Lookups!$K$11,Lookups!$M$10:$P$43,4,0)/VLOOKUP(O120,Lookups!$M$10:$P$43,4,0)),"")</f>
        <v/>
      </c>
      <c r="Q120" s="160" t="s">
        <v>1580</v>
      </c>
      <c r="R120" s="15" t="s">
        <v>152</v>
      </c>
      <c r="S120" s="118"/>
      <c r="T120" s="134"/>
      <c r="U120" s="4"/>
      <c r="V120"/>
      <c r="W120"/>
    </row>
    <row r="121" spans="1:23" s="36" customFormat="1" ht="60" hidden="1" customHeight="1" outlineLevel="2" x14ac:dyDescent="0.25">
      <c r="A121" s="34" t="s">
        <v>177</v>
      </c>
      <c r="B121" s="34" t="s">
        <v>169</v>
      </c>
      <c r="C121" s="34" t="s">
        <v>1065</v>
      </c>
      <c r="D121" s="41" t="s">
        <v>880</v>
      </c>
      <c r="E121" s="12" t="s">
        <v>170</v>
      </c>
      <c r="F121" s="12" t="s">
        <v>199</v>
      </c>
      <c r="G121" s="12"/>
      <c r="H121" s="14">
        <v>300</v>
      </c>
      <c r="I121" s="15" t="s">
        <v>258</v>
      </c>
      <c r="J121" s="89">
        <f>IF(H121&gt;0,(H121*VLOOKUP(Lookups!$K$11,Lookups!$M$10:$P$43,4,0)/VLOOKUP(I121,Lookups!$M$10:$P$43,4,0)),"")</f>
        <v>347.06468418598581</v>
      </c>
      <c r="K121" s="14"/>
      <c r="L121" s="15"/>
      <c r="M121" s="89" t="str">
        <f>IF(K121&gt;0,(K121*VLOOKUP(Lookups!$K$11,Lookups!$M$10:$P$43,4,0)/VLOOKUP(L121,Lookups!$M$10:$P$43,4,0)),"")</f>
        <v/>
      </c>
      <c r="N121" s="14"/>
      <c r="O121" s="15"/>
      <c r="P121" s="89" t="str">
        <f>IF(N121&gt;0,(N121*VLOOKUP(Lookups!$K$11,Lookups!$M$10:$P$43,4,0)/VLOOKUP(O121,Lookups!$M$10:$P$43,4,0)),"")</f>
        <v/>
      </c>
      <c r="Q121" s="160" t="s">
        <v>1580</v>
      </c>
      <c r="R121" s="15" t="s">
        <v>152</v>
      </c>
      <c r="S121" s="118"/>
      <c r="T121" s="134"/>
      <c r="U121" s="4"/>
      <c r="V121"/>
      <c r="W121"/>
    </row>
    <row r="122" spans="1:23" s="36" customFormat="1" ht="60" hidden="1" customHeight="1" outlineLevel="2" x14ac:dyDescent="0.25">
      <c r="A122" s="34" t="s">
        <v>177</v>
      </c>
      <c r="B122" s="34" t="s">
        <v>169</v>
      </c>
      <c r="C122" s="34" t="s">
        <v>1066</v>
      </c>
      <c r="D122" s="41" t="s">
        <v>899</v>
      </c>
      <c r="E122" s="12" t="s">
        <v>170</v>
      </c>
      <c r="F122" s="12" t="s">
        <v>265</v>
      </c>
      <c r="G122" s="12" t="s">
        <v>696</v>
      </c>
      <c r="H122" s="14">
        <f>20+1070+60+30+40+70</f>
        <v>1290</v>
      </c>
      <c r="I122" s="15" t="s">
        <v>258</v>
      </c>
      <c r="J122" s="89">
        <f>IF(H122&gt;0,(H122*VLOOKUP(Lookups!$K$11,Lookups!$M$10:$P$43,4,0)/VLOOKUP(I122,Lookups!$M$10:$P$43,4,0)),"")</f>
        <v>1492.378141999739</v>
      </c>
      <c r="K122" s="14"/>
      <c r="L122" s="15"/>
      <c r="M122" s="89" t="str">
        <f>IF(K122&gt;0,(K122*VLOOKUP(Lookups!$K$11,Lookups!$M$10:$P$43,4,0)/VLOOKUP(L122,Lookups!$M$10:$P$43,4,0)),"")</f>
        <v/>
      </c>
      <c r="N122" s="14"/>
      <c r="O122" s="15"/>
      <c r="P122" s="89" t="str">
        <f>IF(N122&gt;0,(N122*VLOOKUP(Lookups!$K$11,Lookups!$M$10:$P$43,4,0)/VLOOKUP(O122,Lookups!$M$10:$P$43,4,0)),"")</f>
        <v/>
      </c>
      <c r="Q122" s="160" t="s">
        <v>1580</v>
      </c>
      <c r="R122" s="15" t="s">
        <v>152</v>
      </c>
      <c r="S122" s="118"/>
      <c r="T122" s="134"/>
      <c r="U122" s="4"/>
      <c r="V122"/>
      <c r="W122"/>
    </row>
    <row r="123" spans="1:23" s="36" customFormat="1" ht="60" hidden="1" customHeight="1" outlineLevel="2" x14ac:dyDescent="0.25">
      <c r="A123" s="34" t="s">
        <v>177</v>
      </c>
      <c r="B123" s="34" t="s">
        <v>169</v>
      </c>
      <c r="C123" s="34" t="s">
        <v>1067</v>
      </c>
      <c r="D123" s="41" t="s">
        <v>894</v>
      </c>
      <c r="E123" s="12" t="s">
        <v>170</v>
      </c>
      <c r="F123" s="12" t="s">
        <v>205</v>
      </c>
      <c r="G123" s="12"/>
      <c r="H123" s="14">
        <v>120</v>
      </c>
      <c r="I123" s="15" t="s">
        <v>258</v>
      </c>
      <c r="J123" s="89">
        <f>IF(H123&gt;0,(H123*VLOOKUP(Lookups!$K$11,Lookups!$M$10:$P$43,4,0)/VLOOKUP(I123,Lookups!$M$10:$P$43,4,0)),"")</f>
        <v>138.82587367439433</v>
      </c>
      <c r="K123" s="14"/>
      <c r="L123" s="15"/>
      <c r="M123" s="89" t="str">
        <f>IF(K123&gt;0,(K123*VLOOKUP(Lookups!$K$11,Lookups!$M$10:$P$43,4,0)/VLOOKUP(L123,Lookups!$M$10:$P$43,4,0)),"")</f>
        <v/>
      </c>
      <c r="N123" s="14"/>
      <c r="O123" s="15"/>
      <c r="P123" s="89" t="str">
        <f>IF(N123&gt;0,(N123*VLOOKUP(Lookups!$K$11,Lookups!$M$10:$P$43,4,0)/VLOOKUP(O123,Lookups!$M$10:$P$43,4,0)),"")</f>
        <v/>
      </c>
      <c r="Q123" s="160" t="s">
        <v>1580</v>
      </c>
      <c r="R123" s="15" t="s">
        <v>152</v>
      </c>
      <c r="S123" s="118"/>
      <c r="T123" s="134"/>
      <c r="U123" s="4"/>
      <c r="V123"/>
      <c r="W123"/>
    </row>
    <row r="124" spans="1:23" s="36" customFormat="1" ht="60" hidden="1" customHeight="1" outlineLevel="2" x14ac:dyDescent="0.25">
      <c r="A124" s="34" t="s">
        <v>177</v>
      </c>
      <c r="B124" s="34" t="s">
        <v>169</v>
      </c>
      <c r="C124" s="34" t="s">
        <v>1068</v>
      </c>
      <c r="D124" s="41" t="s">
        <v>838</v>
      </c>
      <c r="E124" s="12" t="s">
        <v>170</v>
      </c>
      <c r="F124" s="12" t="s">
        <v>243</v>
      </c>
      <c r="G124" s="12"/>
      <c r="H124" s="14">
        <v>140</v>
      </c>
      <c r="I124" s="15" t="s">
        <v>258</v>
      </c>
      <c r="J124" s="89">
        <f>IF(H124&gt;0,(H124*VLOOKUP(Lookups!$K$11,Lookups!$M$10:$P$43,4,0)/VLOOKUP(I124,Lookups!$M$10:$P$43,4,0)),"")</f>
        <v>161.9635192867934</v>
      </c>
      <c r="K124" s="14"/>
      <c r="L124" s="15"/>
      <c r="M124" s="89" t="str">
        <f>IF(K124&gt;0,(K124*VLOOKUP(Lookups!$K$11,Lookups!$M$10:$P$43,4,0)/VLOOKUP(L124,Lookups!$M$10:$P$43,4,0)),"")</f>
        <v/>
      </c>
      <c r="N124" s="14"/>
      <c r="O124" s="15"/>
      <c r="P124" s="89" t="str">
        <f>IF(N124&gt;0,(N124*VLOOKUP(Lookups!$K$11,Lookups!$M$10:$P$43,4,0)/VLOOKUP(O124,Lookups!$M$10:$P$43,4,0)),"")</f>
        <v/>
      </c>
      <c r="Q124" s="160" t="s">
        <v>1580</v>
      </c>
      <c r="R124" s="15" t="s">
        <v>152</v>
      </c>
      <c r="S124" s="118"/>
      <c r="T124" s="134"/>
      <c r="U124" s="4"/>
      <c r="V124"/>
      <c r="W124"/>
    </row>
    <row r="125" spans="1:23" s="36" customFormat="1" ht="60" hidden="1" customHeight="1" outlineLevel="2" x14ac:dyDescent="0.25">
      <c r="A125" s="34" t="s">
        <v>177</v>
      </c>
      <c r="B125" s="34" t="s">
        <v>169</v>
      </c>
      <c r="C125" s="34" t="s">
        <v>1710</v>
      </c>
      <c r="D125" s="41" t="s">
        <v>1620</v>
      </c>
      <c r="E125" s="12" t="s">
        <v>170</v>
      </c>
      <c r="F125" s="12" t="s">
        <v>162</v>
      </c>
      <c r="G125" s="12"/>
      <c r="H125" s="14">
        <v>100</v>
      </c>
      <c r="I125" s="15" t="s">
        <v>258</v>
      </c>
      <c r="J125" s="89">
        <f>IF(H125&gt;0,(H125*VLOOKUP(Lookups!$K$11,Lookups!$M$10:$P$43,4,0)/VLOOKUP(I125,Lookups!$M$10:$P$43,4,0)),"")</f>
        <v>115.68822806199526</v>
      </c>
      <c r="K125" s="14"/>
      <c r="L125" s="15"/>
      <c r="M125" s="89" t="str">
        <f>IF(K125&gt;0,(K125*VLOOKUP(Lookups!$K$11,Lookups!$M$10:$P$43,4,0)/VLOOKUP(L125,Lookups!$M$10:$P$43,4,0)),"")</f>
        <v/>
      </c>
      <c r="N125" s="14"/>
      <c r="O125" s="15"/>
      <c r="P125" s="89" t="str">
        <f>IF(N125&gt;0,(N125*VLOOKUP(Lookups!$K$11,Lookups!$M$10:$P$43,4,0)/VLOOKUP(O125,Lookups!$M$10:$P$43,4,0)),"")</f>
        <v/>
      </c>
      <c r="Q125" s="160" t="s">
        <v>1580</v>
      </c>
      <c r="R125" s="15" t="s">
        <v>152</v>
      </c>
      <c r="S125" s="118"/>
      <c r="T125" s="134"/>
      <c r="U125" s="4"/>
      <c r="V125"/>
      <c r="W125"/>
    </row>
    <row r="126" spans="1:23" s="36" customFormat="1" ht="60" hidden="1" customHeight="1" outlineLevel="1" collapsed="1" x14ac:dyDescent="0.25">
      <c r="A126" s="42" t="s">
        <v>177</v>
      </c>
      <c r="B126" s="42" t="s">
        <v>169</v>
      </c>
      <c r="C126" s="42" t="s">
        <v>1069</v>
      </c>
      <c r="D126" s="42" t="s">
        <v>873</v>
      </c>
      <c r="E126" s="12" t="s">
        <v>170</v>
      </c>
      <c r="F126" s="12" t="s">
        <v>147</v>
      </c>
      <c r="G126" s="12"/>
      <c r="H126" s="14">
        <v>220</v>
      </c>
      <c r="I126" s="15" t="s">
        <v>258</v>
      </c>
      <c r="J126" s="89">
        <f>IF(H126&gt;0,(H126*VLOOKUP(Lookups!$K$11,Lookups!$M$10:$P$43,4,0)/VLOOKUP(I126,Lookups!$M$10:$P$43,4,0)),"")</f>
        <v>254.51410173638959</v>
      </c>
      <c r="K126" s="14">
        <v>530</v>
      </c>
      <c r="L126" s="15" t="s">
        <v>258</v>
      </c>
      <c r="M126" s="89">
        <f>IF(K126&gt;0,(K126*VLOOKUP(Lookups!$K$11,Lookups!$M$10:$P$43,4,0)/VLOOKUP(L126,Lookups!$M$10:$P$43,4,0)),"")</f>
        <v>613.14760872857494</v>
      </c>
      <c r="N126" s="14">
        <v>140</v>
      </c>
      <c r="O126" s="15" t="s">
        <v>258</v>
      </c>
      <c r="P126" s="89">
        <f>IF(N126&gt;0,(N126*VLOOKUP(Lookups!$K$11,Lookups!$M$10:$P$43,4,0)/VLOOKUP(O126,Lookups!$M$10:$P$43,4,0)),"")</f>
        <v>161.9635192867934</v>
      </c>
      <c r="Q126" s="160" t="s">
        <v>1580</v>
      </c>
      <c r="R126" s="15" t="s">
        <v>152</v>
      </c>
      <c r="S126" s="4" t="s">
        <v>1684</v>
      </c>
      <c r="T126" s="134"/>
      <c r="U126" s="4"/>
      <c r="V126"/>
      <c r="W126"/>
    </row>
    <row r="127" spans="1:23" s="36" customFormat="1" ht="60" hidden="1" customHeight="1" outlineLevel="2" x14ac:dyDescent="0.25">
      <c r="A127" s="34" t="s">
        <v>177</v>
      </c>
      <c r="B127" s="34" t="s">
        <v>169</v>
      </c>
      <c r="C127" s="34" t="s">
        <v>1070</v>
      </c>
      <c r="D127" s="41" t="s">
        <v>975</v>
      </c>
      <c r="E127" s="12" t="s">
        <v>170</v>
      </c>
      <c r="F127" s="12" t="s">
        <v>632</v>
      </c>
      <c r="G127" s="12"/>
      <c r="H127" s="14">
        <v>80</v>
      </c>
      <c r="I127" s="15" t="s">
        <v>258</v>
      </c>
      <c r="J127" s="89">
        <f>IF(H127&gt;0,(H127*VLOOKUP(Lookups!$K$11,Lookups!$M$10:$P$43,4,0)/VLOOKUP(I127,Lookups!$M$10:$P$43,4,0)),"")</f>
        <v>92.55058244959622</v>
      </c>
      <c r="K127" s="14"/>
      <c r="L127" s="15"/>
      <c r="M127" s="89" t="str">
        <f>IF(K127&gt;0,(K127*VLOOKUP(Lookups!$K$11,Lookups!$M$10:$P$43,4,0)/VLOOKUP(L127,Lookups!$M$10:$P$43,4,0)),"")</f>
        <v/>
      </c>
      <c r="N127" s="14"/>
      <c r="O127" s="15"/>
      <c r="P127" s="89" t="str">
        <f>IF(N127&gt;0,(N127*VLOOKUP(Lookups!$K$11,Lookups!$M$10:$P$43,4,0)/VLOOKUP(O127,Lookups!$M$10:$P$43,4,0)),"")</f>
        <v/>
      </c>
      <c r="Q127" s="160" t="s">
        <v>1580</v>
      </c>
      <c r="R127" s="15" t="s">
        <v>152</v>
      </c>
      <c r="S127" s="118"/>
      <c r="T127" s="134"/>
      <c r="U127" s="4"/>
      <c r="V127"/>
      <c r="W127"/>
    </row>
    <row r="128" spans="1:23" s="36" customFormat="1" ht="60" hidden="1" customHeight="1" outlineLevel="2" x14ac:dyDescent="0.25">
      <c r="A128" s="34" t="s">
        <v>177</v>
      </c>
      <c r="B128" s="34" t="s">
        <v>169</v>
      </c>
      <c r="C128" s="34" t="s">
        <v>1071</v>
      </c>
      <c r="D128" s="41" t="s">
        <v>881</v>
      </c>
      <c r="E128" s="12" t="s">
        <v>170</v>
      </c>
      <c r="F128" s="12" t="s">
        <v>199</v>
      </c>
      <c r="G128" s="12"/>
      <c r="H128" s="14">
        <v>20</v>
      </c>
      <c r="I128" s="15" t="s">
        <v>258</v>
      </c>
      <c r="J128" s="89">
        <f>IF(H128&gt;0,(H128*VLOOKUP(Lookups!$K$11,Lookups!$M$10:$P$43,4,0)/VLOOKUP(I128,Lookups!$M$10:$P$43,4,0)),"")</f>
        <v>23.137645612399055</v>
      </c>
      <c r="K128" s="14"/>
      <c r="L128" s="15"/>
      <c r="M128" s="89" t="str">
        <f>IF(K128&gt;0,(K128*VLOOKUP(Lookups!$K$11,Lookups!$M$10:$P$43,4,0)/VLOOKUP(L128,Lookups!$M$10:$P$43,4,0)),"")</f>
        <v/>
      </c>
      <c r="N128" s="14"/>
      <c r="O128" s="15"/>
      <c r="P128" s="89" t="str">
        <f>IF(N128&gt;0,(N128*VLOOKUP(Lookups!$K$11,Lookups!$M$10:$P$43,4,0)/VLOOKUP(O128,Lookups!$M$10:$P$43,4,0)),"")</f>
        <v/>
      </c>
      <c r="Q128" s="160" t="s">
        <v>1580</v>
      </c>
      <c r="R128" s="15" t="s">
        <v>152</v>
      </c>
      <c r="S128" s="118"/>
      <c r="T128" s="134"/>
      <c r="U128" s="4"/>
      <c r="V128"/>
      <c r="W128"/>
    </row>
    <row r="129" spans="1:23" s="36" customFormat="1" ht="60" hidden="1" customHeight="1" outlineLevel="2" x14ac:dyDescent="0.25">
      <c r="A129" s="34" t="s">
        <v>177</v>
      </c>
      <c r="B129" s="34" t="s">
        <v>169</v>
      </c>
      <c r="C129" s="34" t="s">
        <v>1072</v>
      </c>
      <c r="D129" s="41" t="s">
        <v>889</v>
      </c>
      <c r="E129" s="12" t="s">
        <v>170</v>
      </c>
      <c r="F129" s="12" t="s">
        <v>265</v>
      </c>
      <c r="G129" s="12" t="s">
        <v>696</v>
      </c>
      <c r="H129" s="14">
        <v>60</v>
      </c>
      <c r="I129" s="15" t="s">
        <v>258</v>
      </c>
      <c r="J129" s="89">
        <f>IF(H129&gt;0,(H129*VLOOKUP(Lookups!$K$11,Lookups!$M$10:$P$43,4,0)/VLOOKUP(I129,Lookups!$M$10:$P$43,4,0)),"")</f>
        <v>69.412936837197165</v>
      </c>
      <c r="K129" s="14"/>
      <c r="L129" s="15"/>
      <c r="M129" s="89" t="str">
        <f>IF(K129&gt;0,(K129*VLOOKUP(Lookups!$K$11,Lookups!$M$10:$P$43,4,0)/VLOOKUP(L129,Lookups!$M$10:$P$43,4,0)),"")</f>
        <v/>
      </c>
      <c r="N129" s="14"/>
      <c r="O129" s="15"/>
      <c r="P129" s="89" t="str">
        <f>IF(N129&gt;0,(N129*VLOOKUP(Lookups!$K$11,Lookups!$M$10:$P$43,4,0)/VLOOKUP(O129,Lookups!$M$10:$P$43,4,0)),"")</f>
        <v/>
      </c>
      <c r="Q129" s="160" t="s">
        <v>1580</v>
      </c>
      <c r="R129" s="15" t="s">
        <v>152</v>
      </c>
      <c r="S129" s="118"/>
      <c r="T129" s="134"/>
      <c r="U129" s="4"/>
      <c r="V129"/>
      <c r="W129"/>
    </row>
    <row r="130" spans="1:23" s="36" customFormat="1" ht="60" hidden="1" customHeight="1" outlineLevel="2" x14ac:dyDescent="0.25">
      <c r="A130" s="34" t="s">
        <v>177</v>
      </c>
      <c r="B130" s="34" t="s">
        <v>169</v>
      </c>
      <c r="C130" s="34" t="s">
        <v>1073</v>
      </c>
      <c r="D130" s="41" t="s">
        <v>895</v>
      </c>
      <c r="E130" s="12" t="s">
        <v>170</v>
      </c>
      <c r="F130" s="12" t="s">
        <v>205</v>
      </c>
      <c r="G130" s="12"/>
      <c r="H130" s="14">
        <v>10</v>
      </c>
      <c r="I130" s="15" t="s">
        <v>258</v>
      </c>
      <c r="J130" s="89">
        <f>IF(H130&gt;0,(H130*VLOOKUP(Lookups!$K$11,Lookups!$M$10:$P$43,4,0)/VLOOKUP(I130,Lookups!$M$10:$P$43,4,0)),"")</f>
        <v>11.568822806199528</v>
      </c>
      <c r="K130" s="14"/>
      <c r="L130" s="15"/>
      <c r="M130" s="89" t="str">
        <f>IF(K130&gt;0,(K130*VLOOKUP(Lookups!$K$11,Lookups!$M$10:$P$43,4,0)/VLOOKUP(L130,Lookups!$M$10:$P$43,4,0)),"")</f>
        <v/>
      </c>
      <c r="N130" s="14"/>
      <c r="O130" s="15"/>
      <c r="P130" s="89" t="str">
        <f>IF(N130&gt;0,(N130*VLOOKUP(Lookups!$K$11,Lookups!$M$10:$P$43,4,0)/VLOOKUP(O130,Lookups!$M$10:$P$43,4,0)),"")</f>
        <v/>
      </c>
      <c r="Q130" s="160" t="s">
        <v>1580</v>
      </c>
      <c r="R130" s="15" t="s">
        <v>152</v>
      </c>
      <c r="S130" s="118"/>
      <c r="T130" s="134"/>
      <c r="U130" s="4"/>
      <c r="V130"/>
      <c r="W130"/>
    </row>
    <row r="131" spans="1:23" s="36" customFormat="1" ht="60" hidden="1" customHeight="1" outlineLevel="2" x14ac:dyDescent="0.25">
      <c r="A131" s="34" t="s">
        <v>177</v>
      </c>
      <c r="B131" s="34" t="s">
        <v>169</v>
      </c>
      <c r="C131" s="34" t="s">
        <v>1074</v>
      </c>
      <c r="D131" s="41" t="s">
        <v>839</v>
      </c>
      <c r="E131" s="12" t="s">
        <v>170</v>
      </c>
      <c r="F131" s="12" t="s">
        <v>243</v>
      </c>
      <c r="G131" s="12"/>
      <c r="H131" s="14">
        <v>10</v>
      </c>
      <c r="I131" s="15" t="s">
        <v>258</v>
      </c>
      <c r="J131" s="89">
        <f>IF(H131&gt;0,(H131*VLOOKUP(Lookups!$K$11,Lookups!$M$10:$P$43,4,0)/VLOOKUP(I131,Lookups!$M$10:$P$43,4,0)),"")</f>
        <v>11.568822806199528</v>
      </c>
      <c r="K131" s="14"/>
      <c r="L131" s="15"/>
      <c r="M131" s="89" t="str">
        <f>IF(K131&gt;0,(K131*VLOOKUP(Lookups!$K$11,Lookups!$M$10:$P$43,4,0)/VLOOKUP(L131,Lookups!$M$10:$P$43,4,0)),"")</f>
        <v/>
      </c>
      <c r="N131" s="14"/>
      <c r="O131" s="15"/>
      <c r="P131" s="89" t="str">
        <f>IF(N131&gt;0,(N131*VLOOKUP(Lookups!$K$11,Lookups!$M$10:$P$43,4,0)/VLOOKUP(O131,Lookups!$M$10:$P$43,4,0)),"")</f>
        <v/>
      </c>
      <c r="Q131" s="160" t="s">
        <v>1580</v>
      </c>
      <c r="R131" s="15" t="s">
        <v>152</v>
      </c>
      <c r="S131" s="118"/>
      <c r="T131" s="134"/>
      <c r="U131" s="4"/>
      <c r="V131"/>
      <c r="W131"/>
    </row>
    <row r="132" spans="1:23" s="36" customFormat="1" ht="60" hidden="1" customHeight="1" outlineLevel="2" x14ac:dyDescent="0.25">
      <c r="A132" s="34" t="s">
        <v>177</v>
      </c>
      <c r="B132" s="34" t="s">
        <v>169</v>
      </c>
      <c r="C132" s="34" t="s">
        <v>1711</v>
      </c>
      <c r="D132" s="41" t="s">
        <v>1621</v>
      </c>
      <c r="E132" s="12" t="s">
        <v>170</v>
      </c>
      <c r="F132" s="12" t="s">
        <v>162</v>
      </c>
      <c r="G132" s="12"/>
      <c r="H132" s="14">
        <v>40</v>
      </c>
      <c r="I132" s="15" t="s">
        <v>258</v>
      </c>
      <c r="J132" s="89">
        <f>IF(H132&gt;0,(H132*VLOOKUP(Lookups!$K$11,Lookups!$M$10:$P$43,4,0)/VLOOKUP(I132,Lookups!$M$10:$P$43,4,0)),"")</f>
        <v>46.27529122479811</v>
      </c>
      <c r="K132" s="14"/>
      <c r="L132" s="15"/>
      <c r="M132" s="89" t="str">
        <f>IF(K132&gt;0,(K132*VLOOKUP(Lookups!$K$11,Lookups!$M$10:$P$43,4,0)/VLOOKUP(L132,Lookups!$M$10:$P$43,4,0)),"")</f>
        <v/>
      </c>
      <c r="N132" s="14"/>
      <c r="O132" s="15"/>
      <c r="P132" s="89" t="str">
        <f>IF(N132&gt;0,(N132*VLOOKUP(Lookups!$K$11,Lookups!$M$10:$P$43,4,0)/VLOOKUP(O132,Lookups!$M$10:$P$43,4,0)),"")</f>
        <v/>
      </c>
      <c r="Q132" s="160" t="s">
        <v>1580</v>
      </c>
      <c r="R132" s="15" t="s">
        <v>152</v>
      </c>
      <c r="S132" s="118"/>
      <c r="T132" s="134"/>
      <c r="U132" s="4"/>
      <c r="V132"/>
      <c r="W132"/>
    </row>
    <row r="133" spans="1:23" s="36" customFormat="1" ht="60" hidden="1" customHeight="1" outlineLevel="1" collapsed="1" x14ac:dyDescent="0.25">
      <c r="A133" s="42" t="s">
        <v>177</v>
      </c>
      <c r="B133" s="42" t="s">
        <v>169</v>
      </c>
      <c r="C133" s="42" t="s">
        <v>1075</v>
      </c>
      <c r="D133" s="42" t="s">
        <v>1613</v>
      </c>
      <c r="E133" s="12" t="s">
        <v>170</v>
      </c>
      <c r="F133" s="12" t="s">
        <v>147</v>
      </c>
      <c r="G133" s="12"/>
      <c r="H133" s="14">
        <v>640</v>
      </c>
      <c r="I133" s="15" t="s">
        <v>258</v>
      </c>
      <c r="J133" s="89">
        <f>IF(H133&gt;0,(H133*VLOOKUP(Lookups!$K$11,Lookups!$M$10:$P$43,4,0)/VLOOKUP(I133,Lookups!$M$10:$P$43,4,0)),"")</f>
        <v>740.40465959676976</v>
      </c>
      <c r="K133" s="14">
        <v>330</v>
      </c>
      <c r="L133" s="15" t="s">
        <v>258</v>
      </c>
      <c r="M133" s="89">
        <f>IF(K133&gt;0,(K133*VLOOKUP(Lookups!$K$11,Lookups!$M$10:$P$43,4,0)/VLOOKUP(L133,Lookups!$M$10:$P$43,4,0)),"")</f>
        <v>381.77115260458442</v>
      </c>
      <c r="N133" s="14">
        <v>410</v>
      </c>
      <c r="O133" s="15" t="s">
        <v>258</v>
      </c>
      <c r="P133" s="89">
        <f>IF(N133&gt;0,(N133*VLOOKUP(Lookups!$K$11,Lookups!$M$10:$P$43,4,0)/VLOOKUP(O133,Lookups!$M$10:$P$43,4,0)),"")</f>
        <v>474.32173505418058</v>
      </c>
      <c r="Q133" s="160" t="s">
        <v>1580</v>
      </c>
      <c r="R133" s="15" t="s">
        <v>152</v>
      </c>
      <c r="S133" s="4" t="s">
        <v>1682</v>
      </c>
      <c r="T133" s="134"/>
      <c r="U133" s="4"/>
      <c r="V133"/>
      <c r="W133"/>
    </row>
    <row r="134" spans="1:23" s="36" customFormat="1" ht="60" hidden="1" customHeight="1" outlineLevel="2" x14ac:dyDescent="0.25">
      <c r="A134" s="34" t="s">
        <v>177</v>
      </c>
      <c r="B134" s="34" t="s">
        <v>169</v>
      </c>
      <c r="C134" s="34" t="s">
        <v>1076</v>
      </c>
      <c r="D134" s="41" t="s">
        <v>1614</v>
      </c>
      <c r="E134" s="12" t="s">
        <v>170</v>
      </c>
      <c r="F134" s="12" t="s">
        <v>632</v>
      </c>
      <c r="G134" s="12"/>
      <c r="H134" s="14">
        <v>40</v>
      </c>
      <c r="I134" s="15" t="s">
        <v>258</v>
      </c>
      <c r="J134" s="89">
        <f>IF(H134&gt;0,(H134*VLOOKUP(Lookups!$K$11,Lookups!$M$10:$P$43,4,0)/VLOOKUP(I134,Lookups!$M$10:$P$43,4,0)),"")</f>
        <v>46.27529122479811</v>
      </c>
      <c r="K134" s="14"/>
      <c r="L134" s="15"/>
      <c r="M134" s="89" t="str">
        <f>IF(K134&gt;0,(K134*VLOOKUP(Lookups!$K$11,Lookups!$M$10:$P$43,4,0)/VLOOKUP(L134,Lookups!$M$10:$P$43,4,0)),"")</f>
        <v/>
      </c>
      <c r="N134" s="14"/>
      <c r="O134" s="15"/>
      <c r="P134" s="89" t="str">
        <f>IF(N134&gt;0,(N134*VLOOKUP(Lookups!$K$11,Lookups!$M$10:$P$43,4,0)/VLOOKUP(O134,Lookups!$M$10:$P$43,4,0)),"")</f>
        <v/>
      </c>
      <c r="Q134" s="160" t="s">
        <v>1580</v>
      </c>
      <c r="R134" s="15" t="s">
        <v>152</v>
      </c>
      <c r="S134" s="118"/>
      <c r="T134" s="134"/>
      <c r="U134" s="4"/>
      <c r="V134"/>
      <c r="W134"/>
    </row>
    <row r="135" spans="1:23" s="36" customFormat="1" ht="60" hidden="1" customHeight="1" outlineLevel="2" x14ac:dyDescent="0.25">
      <c r="A135" s="34" t="s">
        <v>177</v>
      </c>
      <c r="B135" s="34" t="s">
        <v>169</v>
      </c>
      <c r="C135" s="34" t="s">
        <v>1077</v>
      </c>
      <c r="D135" s="41" t="s">
        <v>1615</v>
      </c>
      <c r="E135" s="12" t="s">
        <v>170</v>
      </c>
      <c r="F135" s="12" t="s">
        <v>199</v>
      </c>
      <c r="G135" s="12"/>
      <c r="H135" s="14">
        <v>40</v>
      </c>
      <c r="I135" s="15" t="s">
        <v>258</v>
      </c>
      <c r="J135" s="89">
        <f>IF(H135&gt;0,(H135*VLOOKUP(Lookups!$K$11,Lookups!$M$10:$P$43,4,0)/VLOOKUP(I135,Lookups!$M$10:$P$43,4,0)),"")</f>
        <v>46.27529122479811</v>
      </c>
      <c r="K135" s="14"/>
      <c r="L135" s="15"/>
      <c r="M135" s="89" t="str">
        <f>IF(K135&gt;0,(K135*VLOOKUP(Lookups!$K$11,Lookups!$M$10:$P$43,4,0)/VLOOKUP(L135,Lookups!$M$10:$P$43,4,0)),"")</f>
        <v/>
      </c>
      <c r="N135" s="14"/>
      <c r="O135" s="15"/>
      <c r="P135" s="89" t="str">
        <f>IF(N135&gt;0,(N135*VLOOKUP(Lookups!$K$11,Lookups!$M$10:$P$43,4,0)/VLOOKUP(O135,Lookups!$M$10:$P$43,4,0)),"")</f>
        <v/>
      </c>
      <c r="Q135" s="160" t="s">
        <v>1580</v>
      </c>
      <c r="R135" s="15" t="s">
        <v>152</v>
      </c>
      <c r="S135" s="118"/>
      <c r="T135" s="134"/>
      <c r="U135" s="4"/>
      <c r="V135"/>
      <c r="W135"/>
    </row>
    <row r="136" spans="1:23" s="36" customFormat="1" ht="60" hidden="1" customHeight="1" outlineLevel="2" x14ac:dyDescent="0.25">
      <c r="A136" s="34" t="s">
        <v>177</v>
      </c>
      <c r="B136" s="34" t="s">
        <v>169</v>
      </c>
      <c r="C136" s="34" t="s">
        <v>1078</v>
      </c>
      <c r="D136" s="41" t="s">
        <v>1616</v>
      </c>
      <c r="E136" s="12" t="s">
        <v>170</v>
      </c>
      <c r="F136" s="12" t="s">
        <v>265</v>
      </c>
      <c r="G136" s="12" t="s">
        <v>696</v>
      </c>
      <c r="H136" s="14">
        <f>10+250+10+20</f>
        <v>290</v>
      </c>
      <c r="I136" s="15" t="s">
        <v>258</v>
      </c>
      <c r="J136" s="89">
        <f>IF(H136&gt;0,(H136*VLOOKUP(Lookups!$K$11,Lookups!$M$10:$P$43,4,0)/VLOOKUP(I136,Lookups!$M$10:$P$43,4,0)),"")</f>
        <v>335.49586137978633</v>
      </c>
      <c r="K136" s="14"/>
      <c r="L136" s="15"/>
      <c r="M136" s="89" t="str">
        <f>IF(K136&gt;0,(K136*VLOOKUP(Lookups!$K$11,Lookups!$M$10:$P$43,4,0)/VLOOKUP(L136,Lookups!$M$10:$P$43,4,0)),"")</f>
        <v/>
      </c>
      <c r="N136" s="14"/>
      <c r="O136" s="15"/>
      <c r="P136" s="89" t="str">
        <f>IF(N136&gt;0,(N136*VLOOKUP(Lookups!$K$11,Lookups!$M$10:$P$43,4,0)/VLOOKUP(O136,Lookups!$M$10:$P$43,4,0)),"")</f>
        <v/>
      </c>
      <c r="Q136" s="160" t="s">
        <v>1580</v>
      </c>
      <c r="R136" s="15" t="s">
        <v>152</v>
      </c>
      <c r="S136" s="118"/>
      <c r="T136" s="134"/>
      <c r="U136" s="4"/>
      <c r="V136"/>
      <c r="W136"/>
    </row>
    <row r="137" spans="1:23" s="36" customFormat="1" ht="60" hidden="1" customHeight="1" outlineLevel="2" x14ac:dyDescent="0.25">
      <c r="A137" s="34" t="s">
        <v>177</v>
      </c>
      <c r="B137" s="34" t="s">
        <v>169</v>
      </c>
      <c r="C137" s="34" t="s">
        <v>1079</v>
      </c>
      <c r="D137" s="41" t="s">
        <v>1617</v>
      </c>
      <c r="E137" s="12" t="s">
        <v>170</v>
      </c>
      <c r="F137" s="12" t="s">
        <v>205</v>
      </c>
      <c r="G137" s="12"/>
      <c r="H137" s="14">
        <v>30</v>
      </c>
      <c r="I137" s="15" t="s">
        <v>258</v>
      </c>
      <c r="J137" s="89">
        <f>IF(H137&gt;0,(H137*VLOOKUP(Lookups!$K$11,Lookups!$M$10:$P$43,4,0)/VLOOKUP(I137,Lookups!$M$10:$P$43,4,0)),"")</f>
        <v>34.706468418598583</v>
      </c>
      <c r="K137" s="14"/>
      <c r="L137" s="15"/>
      <c r="M137" s="89" t="str">
        <f>IF(K137&gt;0,(K137*VLOOKUP(Lookups!$K$11,Lookups!$M$10:$P$43,4,0)/VLOOKUP(L137,Lookups!$M$10:$P$43,4,0)),"")</f>
        <v/>
      </c>
      <c r="N137" s="14"/>
      <c r="O137" s="15"/>
      <c r="P137" s="89" t="str">
        <f>IF(N137&gt;0,(N137*VLOOKUP(Lookups!$K$11,Lookups!$M$10:$P$43,4,0)/VLOOKUP(O137,Lookups!$M$10:$P$43,4,0)),"")</f>
        <v/>
      </c>
      <c r="Q137" s="160" t="s">
        <v>1580</v>
      </c>
      <c r="R137" s="15" t="s">
        <v>152</v>
      </c>
      <c r="S137" s="118"/>
      <c r="T137" s="134"/>
      <c r="U137" s="4"/>
      <c r="V137"/>
      <c r="W137"/>
    </row>
    <row r="138" spans="1:23" s="36" customFormat="1" ht="60" hidden="1" customHeight="1" outlineLevel="2" x14ac:dyDescent="0.25">
      <c r="A138" s="34" t="s">
        <v>177</v>
      </c>
      <c r="B138" s="34" t="s">
        <v>169</v>
      </c>
      <c r="C138" s="34" t="s">
        <v>1080</v>
      </c>
      <c r="D138" s="41" t="s">
        <v>1618</v>
      </c>
      <c r="E138" s="12" t="s">
        <v>170</v>
      </c>
      <c r="F138" s="12" t="s">
        <v>243</v>
      </c>
      <c r="G138" s="12"/>
      <c r="H138" s="14">
        <v>30</v>
      </c>
      <c r="I138" s="15" t="s">
        <v>258</v>
      </c>
      <c r="J138" s="89">
        <f>IF(H138&gt;0,(H138*VLOOKUP(Lookups!$K$11,Lookups!$M$10:$P$43,4,0)/VLOOKUP(I138,Lookups!$M$10:$P$43,4,0)),"")</f>
        <v>34.706468418598583</v>
      </c>
      <c r="K138" s="14"/>
      <c r="L138" s="15"/>
      <c r="M138" s="89" t="str">
        <f>IF(K138&gt;0,(K138*VLOOKUP(Lookups!$K$11,Lookups!$M$10:$P$43,4,0)/VLOOKUP(L138,Lookups!$M$10:$P$43,4,0)),"")</f>
        <v/>
      </c>
      <c r="N138" s="14"/>
      <c r="O138" s="15"/>
      <c r="P138" s="89" t="str">
        <f>IF(N138&gt;0,(N138*VLOOKUP(Lookups!$K$11,Lookups!$M$10:$P$43,4,0)/VLOOKUP(O138,Lookups!$M$10:$P$43,4,0)),"")</f>
        <v/>
      </c>
      <c r="Q138" s="160" t="s">
        <v>1580</v>
      </c>
      <c r="R138" s="15" t="s">
        <v>152</v>
      </c>
      <c r="S138" s="118"/>
      <c r="T138" s="134"/>
      <c r="U138" s="4"/>
      <c r="V138"/>
      <c r="W138"/>
    </row>
    <row r="139" spans="1:23" s="36" customFormat="1" ht="60" hidden="1" customHeight="1" outlineLevel="2" x14ac:dyDescent="0.25">
      <c r="A139" s="34" t="s">
        <v>177</v>
      </c>
      <c r="B139" s="34" t="s">
        <v>169</v>
      </c>
      <c r="C139" s="34" t="s">
        <v>1697</v>
      </c>
      <c r="D139" s="41" t="s">
        <v>1619</v>
      </c>
      <c r="E139" s="12" t="s">
        <v>170</v>
      </c>
      <c r="F139" s="12" t="s">
        <v>162</v>
      </c>
      <c r="G139" s="12"/>
      <c r="H139" s="14">
        <v>210</v>
      </c>
      <c r="I139" s="15" t="s">
        <v>258</v>
      </c>
      <c r="J139" s="89">
        <f>IF(H139&gt;0,(H139*VLOOKUP(Lookups!$K$11,Lookups!$M$10:$P$43,4,0)/VLOOKUP(I139,Lookups!$M$10:$P$43,4,0)),"")</f>
        <v>242.94527893019006</v>
      </c>
      <c r="K139" s="14"/>
      <c r="L139" s="15"/>
      <c r="M139" s="89" t="str">
        <f>IF(K139&gt;0,(K139*VLOOKUP(Lookups!$K$11,Lookups!$M$10:$P$43,4,0)/VLOOKUP(L139,Lookups!$M$10:$P$43,4,0)),"")</f>
        <v/>
      </c>
      <c r="N139" s="14"/>
      <c r="O139" s="15"/>
      <c r="P139" s="89" t="str">
        <f>IF(N139&gt;0,(N139*VLOOKUP(Lookups!$K$11,Lookups!$M$10:$P$43,4,0)/VLOOKUP(O139,Lookups!$M$10:$P$43,4,0)),"")</f>
        <v/>
      </c>
      <c r="Q139" s="160" t="s">
        <v>1580</v>
      </c>
      <c r="R139" s="15" t="s">
        <v>152</v>
      </c>
      <c r="S139" s="118"/>
      <c r="T139" s="134"/>
      <c r="U139" s="4"/>
      <c r="V139"/>
      <c r="W139"/>
    </row>
    <row r="140" spans="1:23" s="36" customFormat="1" ht="60" hidden="1" customHeight="1" outlineLevel="1" collapsed="1" x14ac:dyDescent="0.25">
      <c r="A140" s="42" t="s">
        <v>177</v>
      </c>
      <c r="B140" s="42" t="s">
        <v>169</v>
      </c>
      <c r="C140" s="42" t="s">
        <v>1081</v>
      </c>
      <c r="D140" s="42" t="s">
        <v>1622</v>
      </c>
      <c r="E140" s="12" t="s">
        <v>170</v>
      </c>
      <c r="F140" s="12" t="s">
        <v>147</v>
      </c>
      <c r="G140" s="12"/>
      <c r="H140" s="14">
        <v>5170</v>
      </c>
      <c r="I140" s="15" t="s">
        <v>258</v>
      </c>
      <c r="J140" s="89">
        <f>IF(H140&gt;0,(H140*VLOOKUP(Lookups!$K$11,Lookups!$M$10:$P$43,4,0)/VLOOKUP(I140,Lookups!$M$10:$P$43,4,0)),"")</f>
        <v>5981.081390805155</v>
      </c>
      <c r="K140" s="14">
        <v>2260</v>
      </c>
      <c r="L140" s="15" t="s">
        <v>258</v>
      </c>
      <c r="M140" s="89">
        <f>IF(K140&gt;0,(K140*VLOOKUP(Lookups!$K$11,Lookups!$M$10:$P$43,4,0)/VLOOKUP(L140,Lookups!$M$10:$P$43,4,0)),"")</f>
        <v>2614.5539542010929</v>
      </c>
      <c r="N140" s="14">
        <v>980</v>
      </c>
      <c r="O140" s="15" t="s">
        <v>258</v>
      </c>
      <c r="P140" s="89">
        <f>IF(N140&gt;0,(N140*VLOOKUP(Lookups!$K$11,Lookups!$M$10:$P$43,4,0)/VLOOKUP(O140,Lookups!$M$10:$P$43,4,0)),"")</f>
        <v>1133.7446350075536</v>
      </c>
      <c r="Q140" s="160" t="s">
        <v>1580</v>
      </c>
      <c r="R140" s="15" t="s">
        <v>152</v>
      </c>
      <c r="S140" s="4" t="s">
        <v>2202</v>
      </c>
      <c r="T140" s="134"/>
      <c r="U140" s="4"/>
      <c r="V140"/>
      <c r="W140"/>
    </row>
    <row r="141" spans="1:23" s="36" customFormat="1" ht="60" hidden="1" customHeight="1" outlineLevel="2" x14ac:dyDescent="0.25">
      <c r="A141" s="34" t="s">
        <v>177</v>
      </c>
      <c r="B141" s="34" t="s">
        <v>169</v>
      </c>
      <c r="C141" s="34" t="s">
        <v>1082</v>
      </c>
      <c r="D141" s="41" t="s">
        <v>976</v>
      </c>
      <c r="E141" s="12" t="s">
        <v>170</v>
      </c>
      <c r="F141" s="12" t="s">
        <v>632</v>
      </c>
      <c r="G141" s="12"/>
      <c r="H141" s="14">
        <v>1080</v>
      </c>
      <c r="I141" s="15" t="s">
        <v>258</v>
      </c>
      <c r="J141" s="89">
        <f>IF(H141&gt;0,(H141*VLOOKUP(Lookups!$K$11,Lookups!$M$10:$P$43,4,0)/VLOOKUP(I141,Lookups!$M$10:$P$43,4,0)),"")</f>
        <v>1249.4328630695491</v>
      </c>
      <c r="K141" s="14"/>
      <c r="L141" s="15"/>
      <c r="M141" s="89" t="str">
        <f>IF(K141&gt;0,(K141*VLOOKUP(Lookups!$K$11,Lookups!$M$10:$P$43,4,0)/VLOOKUP(L141,Lookups!$M$10:$P$43,4,0)),"")</f>
        <v/>
      </c>
      <c r="N141" s="14"/>
      <c r="O141" s="15"/>
      <c r="P141" s="89" t="str">
        <f>IF(N141&gt;0,(N141*VLOOKUP(Lookups!$K$11,Lookups!$M$10:$P$43,4,0)/VLOOKUP(O141,Lookups!$M$10:$P$43,4,0)),"")</f>
        <v/>
      </c>
      <c r="Q141" s="160" t="s">
        <v>1580</v>
      </c>
      <c r="R141" s="15" t="s">
        <v>152</v>
      </c>
      <c r="S141" s="118"/>
      <c r="T141" s="134"/>
      <c r="U141" s="4"/>
      <c r="V141"/>
      <c r="W141"/>
    </row>
    <row r="142" spans="1:23" s="36" customFormat="1" ht="60" hidden="1" customHeight="1" outlineLevel="2" x14ac:dyDescent="0.25">
      <c r="A142" s="34" t="s">
        <v>177</v>
      </c>
      <c r="B142" s="34" t="s">
        <v>169</v>
      </c>
      <c r="C142" s="34" t="s">
        <v>1083</v>
      </c>
      <c r="D142" s="41" t="s">
        <v>1623</v>
      </c>
      <c r="E142" s="12" t="s">
        <v>170</v>
      </c>
      <c r="F142" s="12" t="s">
        <v>199</v>
      </c>
      <c r="G142" s="12"/>
      <c r="H142" s="14">
        <v>220</v>
      </c>
      <c r="I142" s="15" t="s">
        <v>258</v>
      </c>
      <c r="J142" s="89">
        <f>IF(H142&gt;0,(H142*VLOOKUP(Lookups!$K$11,Lookups!$M$10:$P$43,4,0)/VLOOKUP(I142,Lookups!$M$10:$P$43,4,0)),"")</f>
        <v>254.51410173638959</v>
      </c>
      <c r="K142" s="14"/>
      <c r="L142" s="15"/>
      <c r="M142" s="89" t="str">
        <f>IF(K142&gt;0,(K142*VLOOKUP(Lookups!$K$11,Lookups!$M$10:$P$43,4,0)/VLOOKUP(L142,Lookups!$M$10:$P$43,4,0)),"")</f>
        <v/>
      </c>
      <c r="N142" s="14"/>
      <c r="O142" s="15"/>
      <c r="P142" s="89" t="str">
        <f>IF(N142&gt;0,(N142*VLOOKUP(Lookups!$K$11,Lookups!$M$10:$P$43,4,0)/VLOOKUP(O142,Lookups!$M$10:$P$43,4,0)),"")</f>
        <v/>
      </c>
      <c r="Q142" s="160" t="s">
        <v>1580</v>
      </c>
      <c r="R142" s="15" t="s">
        <v>152</v>
      </c>
      <c r="S142" s="118"/>
      <c r="T142" s="134"/>
      <c r="U142" s="4"/>
      <c r="V142"/>
      <c r="W142"/>
    </row>
    <row r="143" spans="1:23" s="36" customFormat="1" ht="60" hidden="1" customHeight="1" outlineLevel="2" x14ac:dyDescent="0.25">
      <c r="A143" s="34" t="s">
        <v>177</v>
      </c>
      <c r="B143" s="34" t="s">
        <v>169</v>
      </c>
      <c r="C143" s="34" t="s">
        <v>1084</v>
      </c>
      <c r="D143" s="41" t="s">
        <v>1624</v>
      </c>
      <c r="E143" s="12" t="s">
        <v>170</v>
      </c>
      <c r="F143" s="12" t="s">
        <v>265</v>
      </c>
      <c r="G143" s="12" t="s">
        <v>696</v>
      </c>
      <c r="H143" s="14">
        <f>60+2050+120+20+120+180</f>
        <v>2550</v>
      </c>
      <c r="I143" s="15" t="s">
        <v>258</v>
      </c>
      <c r="J143" s="89">
        <f>IF(H143&gt;0,(H143*VLOOKUP(Lookups!$K$11,Lookups!$M$10:$P$43,4,0)/VLOOKUP(I143,Lookups!$M$10:$P$43,4,0)),"")</f>
        <v>2950.0498155808796</v>
      </c>
      <c r="K143" s="14"/>
      <c r="L143" s="15"/>
      <c r="M143" s="89" t="str">
        <f>IF(K143&gt;0,(K143*VLOOKUP(Lookups!$K$11,Lookups!$M$10:$P$43,4,0)/VLOOKUP(L143,Lookups!$M$10:$P$43,4,0)),"")</f>
        <v/>
      </c>
      <c r="N143" s="14"/>
      <c r="O143" s="15"/>
      <c r="P143" s="89" t="str">
        <f>IF(N143&gt;0,(N143*VLOOKUP(Lookups!$K$11,Lookups!$M$10:$P$43,4,0)/VLOOKUP(O143,Lookups!$M$10:$P$43,4,0)),"")</f>
        <v/>
      </c>
      <c r="Q143" s="160" t="s">
        <v>1580</v>
      </c>
      <c r="R143" s="15" t="s">
        <v>152</v>
      </c>
      <c r="S143" s="118"/>
      <c r="T143" s="134"/>
      <c r="U143" s="4"/>
      <c r="V143"/>
      <c r="W143"/>
    </row>
    <row r="144" spans="1:23" s="36" customFormat="1" ht="60" hidden="1" customHeight="1" outlineLevel="2" x14ac:dyDescent="0.25">
      <c r="A144" s="34" t="s">
        <v>177</v>
      </c>
      <c r="B144" s="34" t="s">
        <v>169</v>
      </c>
      <c r="C144" s="34" t="s">
        <v>1085</v>
      </c>
      <c r="D144" s="41" t="s">
        <v>1625</v>
      </c>
      <c r="E144" s="12" t="s">
        <v>170</v>
      </c>
      <c r="F144" s="12" t="s">
        <v>205</v>
      </c>
      <c r="G144" s="12"/>
      <c r="H144" s="14">
        <v>910</v>
      </c>
      <c r="I144" s="15" t="s">
        <v>258</v>
      </c>
      <c r="J144" s="89">
        <f>IF(H144&gt;0,(H144*VLOOKUP(Lookups!$K$11,Lookups!$M$10:$P$43,4,0)/VLOOKUP(I144,Lookups!$M$10:$P$43,4,0)),"")</f>
        <v>1052.762875364157</v>
      </c>
      <c r="K144" s="14"/>
      <c r="L144" s="15"/>
      <c r="M144" s="89" t="str">
        <f>IF(K144&gt;0,(K144*VLOOKUP(Lookups!$K$11,Lookups!$M$10:$P$43,4,0)/VLOOKUP(L144,Lookups!$M$10:$P$43,4,0)),"")</f>
        <v/>
      </c>
      <c r="N144" s="14"/>
      <c r="O144" s="15"/>
      <c r="P144" s="89" t="str">
        <f>IF(N144&gt;0,(N144*VLOOKUP(Lookups!$K$11,Lookups!$M$10:$P$43,4,0)/VLOOKUP(O144,Lookups!$M$10:$P$43,4,0)),"")</f>
        <v/>
      </c>
      <c r="Q144" s="160" t="s">
        <v>1580</v>
      </c>
      <c r="R144" s="15" t="s">
        <v>152</v>
      </c>
      <c r="S144" s="118"/>
      <c r="T144" s="134"/>
      <c r="U144" s="4"/>
      <c r="V144"/>
      <c r="W144"/>
    </row>
    <row r="145" spans="1:23" s="36" customFormat="1" ht="60" hidden="1" customHeight="1" outlineLevel="2" x14ac:dyDescent="0.25">
      <c r="A145" s="34" t="s">
        <v>177</v>
      </c>
      <c r="B145" s="34" t="s">
        <v>169</v>
      </c>
      <c r="C145" s="34" t="s">
        <v>1086</v>
      </c>
      <c r="D145" s="41" t="s">
        <v>1626</v>
      </c>
      <c r="E145" s="12" t="s">
        <v>170</v>
      </c>
      <c r="F145" s="12" t="s">
        <v>243</v>
      </c>
      <c r="G145" s="12"/>
      <c r="H145" s="14">
        <v>230</v>
      </c>
      <c r="I145" s="15" t="s">
        <v>258</v>
      </c>
      <c r="J145" s="89">
        <f>IF(H145&gt;0,(H145*VLOOKUP(Lookups!$K$11,Lookups!$M$10:$P$43,4,0)/VLOOKUP(I145,Lookups!$M$10:$P$43,4,0)),"")</f>
        <v>266.08292454258913</v>
      </c>
      <c r="K145" s="14"/>
      <c r="L145" s="15"/>
      <c r="M145" s="89" t="str">
        <f>IF(K145&gt;0,(K145*VLOOKUP(Lookups!$K$11,Lookups!$M$10:$P$43,4,0)/VLOOKUP(L145,Lookups!$M$10:$P$43,4,0)),"")</f>
        <v/>
      </c>
      <c r="N145" s="14"/>
      <c r="O145" s="15"/>
      <c r="P145" s="89" t="str">
        <f>IF(N145&gt;0,(N145*VLOOKUP(Lookups!$K$11,Lookups!$M$10:$P$43,4,0)/VLOOKUP(O145,Lookups!$M$10:$P$43,4,0)),"")</f>
        <v/>
      </c>
      <c r="Q145" s="160" t="s">
        <v>1580</v>
      </c>
      <c r="R145" s="15" t="s">
        <v>152</v>
      </c>
      <c r="S145" s="118"/>
      <c r="T145" s="134"/>
      <c r="U145" s="4"/>
      <c r="V145"/>
      <c r="W145"/>
    </row>
    <row r="146" spans="1:23" s="36" customFormat="1" ht="60" hidden="1" customHeight="1" outlineLevel="2" x14ac:dyDescent="0.25">
      <c r="A146" s="34" t="s">
        <v>177</v>
      </c>
      <c r="B146" s="34" t="s">
        <v>169</v>
      </c>
      <c r="C146" s="34" t="s">
        <v>1086</v>
      </c>
      <c r="D146" s="41" t="s">
        <v>1627</v>
      </c>
      <c r="E146" s="12" t="s">
        <v>170</v>
      </c>
      <c r="F146" s="12" t="s">
        <v>162</v>
      </c>
      <c r="G146" s="12"/>
      <c r="H146" s="14">
        <v>180</v>
      </c>
      <c r="I146" s="15" t="s">
        <v>258</v>
      </c>
      <c r="J146" s="89">
        <f>IF(H146&gt;0,(H146*VLOOKUP(Lookups!$K$11,Lookups!$M$10:$P$43,4,0)/VLOOKUP(I146,Lookups!$M$10:$P$43,4,0)),"")</f>
        <v>208.23881051159151</v>
      </c>
      <c r="K146" s="14"/>
      <c r="L146" s="15"/>
      <c r="M146" s="89" t="str">
        <f>IF(K146&gt;0,(K146*VLOOKUP(Lookups!$K$11,Lookups!$M$10:$P$43,4,0)/VLOOKUP(L146,Lookups!$M$10:$P$43,4,0)),"")</f>
        <v/>
      </c>
      <c r="N146" s="14"/>
      <c r="O146" s="15"/>
      <c r="P146" s="89" t="str">
        <f>IF(N146&gt;0,(N146*VLOOKUP(Lookups!$K$11,Lookups!$M$10:$P$43,4,0)/VLOOKUP(O146,Lookups!$M$10:$P$43,4,0)),"")</f>
        <v/>
      </c>
      <c r="Q146" s="160" t="s">
        <v>1580</v>
      </c>
      <c r="R146" s="15" t="s">
        <v>152</v>
      </c>
      <c r="S146" s="118"/>
      <c r="T146" s="134"/>
      <c r="U146" s="4"/>
      <c r="V146"/>
      <c r="W146"/>
    </row>
    <row r="147" spans="1:23" s="36" customFormat="1" ht="60" hidden="1" customHeight="1" outlineLevel="2" x14ac:dyDescent="0.25">
      <c r="A147" s="34" t="s">
        <v>177</v>
      </c>
      <c r="B147" s="34" t="s">
        <v>169</v>
      </c>
      <c r="C147" s="34" t="s">
        <v>1712</v>
      </c>
      <c r="D147" s="41" t="s">
        <v>1640</v>
      </c>
      <c r="E147" s="12" t="s">
        <v>170</v>
      </c>
      <c r="F147" s="12" t="s">
        <v>1572</v>
      </c>
      <c r="G147" s="12"/>
      <c r="H147" s="14">
        <v>10</v>
      </c>
      <c r="I147" s="15" t="s">
        <v>258</v>
      </c>
      <c r="J147" s="89">
        <f>IF(H147&gt;0,(H147*VLOOKUP(Lookups!$K$11,Lookups!$M$10:$P$43,4,0)/VLOOKUP(I147,Lookups!$M$10:$P$43,4,0)),"")</f>
        <v>11.568822806199528</v>
      </c>
      <c r="K147" s="14"/>
      <c r="L147" s="15"/>
      <c r="M147" s="89" t="str">
        <f>IF(K147&gt;0,(K147*VLOOKUP(Lookups!$K$11,Lookups!$M$10:$P$43,4,0)/VLOOKUP(L147,Lookups!$M$10:$P$43,4,0)),"")</f>
        <v/>
      </c>
      <c r="N147" s="14"/>
      <c r="O147" s="15"/>
      <c r="P147" s="89" t="str">
        <f>IF(N147&gt;0,(N147*VLOOKUP(Lookups!$K$11,Lookups!$M$10:$P$43,4,0)/VLOOKUP(O147,Lookups!$M$10:$P$43,4,0)),"")</f>
        <v/>
      </c>
      <c r="Q147" s="160" t="s">
        <v>1580</v>
      </c>
      <c r="R147" s="15" t="s">
        <v>152</v>
      </c>
      <c r="S147" s="118"/>
      <c r="T147" s="134"/>
      <c r="U147" s="4"/>
      <c r="V147"/>
      <c r="W147"/>
    </row>
    <row r="148" spans="1:23" s="36" customFormat="1" ht="60" hidden="1" customHeight="1" outlineLevel="1" collapsed="1" x14ac:dyDescent="0.25">
      <c r="A148" s="42" t="s">
        <v>177</v>
      </c>
      <c r="B148" s="42" t="s">
        <v>169</v>
      </c>
      <c r="C148" s="42" t="s">
        <v>1087</v>
      </c>
      <c r="D148" s="42" t="s">
        <v>1628</v>
      </c>
      <c r="E148" s="12" t="s">
        <v>170</v>
      </c>
      <c r="F148" s="12" t="s">
        <v>147</v>
      </c>
      <c r="G148" s="12"/>
      <c r="H148" s="14">
        <v>590</v>
      </c>
      <c r="I148" s="15" t="s">
        <v>258</v>
      </c>
      <c r="J148" s="89">
        <f>IF(H148&gt;0,(H148*VLOOKUP(Lookups!$K$11,Lookups!$M$10:$P$43,4,0)/VLOOKUP(I148,Lookups!$M$10:$P$43,4,0)),"")</f>
        <v>682.56054556577203</v>
      </c>
      <c r="K148" s="14">
        <v>480</v>
      </c>
      <c r="L148" s="15" t="s">
        <v>258</v>
      </c>
      <c r="M148" s="89">
        <f>IF(K148&gt;0,(K148*VLOOKUP(Lookups!$K$11,Lookups!$M$10:$P$43,4,0)/VLOOKUP(L148,Lookups!$M$10:$P$43,4,0)),"")</f>
        <v>555.30349469757732</v>
      </c>
      <c r="N148" s="14">
        <v>270</v>
      </c>
      <c r="O148" s="15" t="s">
        <v>258</v>
      </c>
      <c r="P148" s="89">
        <f>IF(N148&gt;0,(N148*VLOOKUP(Lookups!$K$11,Lookups!$M$10:$P$43,4,0)/VLOOKUP(O148,Lookups!$M$10:$P$43,4,0)),"")</f>
        <v>312.35821576738726</v>
      </c>
      <c r="Q148" s="160" t="s">
        <v>1580</v>
      </c>
      <c r="R148" s="15" t="s">
        <v>152</v>
      </c>
      <c r="S148" s="4" t="s">
        <v>2203</v>
      </c>
      <c r="T148" s="134"/>
      <c r="U148" s="4"/>
      <c r="V148"/>
      <c r="W148"/>
    </row>
    <row r="149" spans="1:23" s="36" customFormat="1" ht="60" hidden="1" customHeight="1" outlineLevel="2" x14ac:dyDescent="0.25">
      <c r="A149" s="34" t="s">
        <v>177</v>
      </c>
      <c r="B149" s="34" t="s">
        <v>169</v>
      </c>
      <c r="C149" s="34" t="s">
        <v>1088</v>
      </c>
      <c r="D149" s="41" t="s">
        <v>1629</v>
      </c>
      <c r="E149" s="12" t="s">
        <v>170</v>
      </c>
      <c r="F149" s="12" t="s">
        <v>632</v>
      </c>
      <c r="G149" s="12"/>
      <c r="H149" s="14">
        <v>150</v>
      </c>
      <c r="I149" s="15" t="s">
        <v>258</v>
      </c>
      <c r="J149" s="89">
        <f>IF(H149&gt;0,(H149*VLOOKUP(Lookups!$K$11,Lookups!$M$10:$P$43,4,0)/VLOOKUP(I149,Lookups!$M$10:$P$43,4,0)),"")</f>
        <v>173.53234209299291</v>
      </c>
      <c r="K149" s="14"/>
      <c r="L149" s="15"/>
      <c r="M149" s="89" t="str">
        <f>IF(K149&gt;0,(K149*VLOOKUP(Lookups!$K$11,Lookups!$M$10:$P$43,4,0)/VLOOKUP(L149,Lookups!$M$10:$P$43,4,0)),"")</f>
        <v/>
      </c>
      <c r="N149" s="14"/>
      <c r="O149" s="15"/>
      <c r="P149" s="89" t="str">
        <f>IF(N149&gt;0,(N149*VLOOKUP(Lookups!$K$11,Lookups!$M$10:$P$43,4,0)/VLOOKUP(O149,Lookups!$M$10:$P$43,4,0)),"")</f>
        <v/>
      </c>
      <c r="Q149" s="160" t="s">
        <v>1580</v>
      </c>
      <c r="R149" s="15" t="s">
        <v>152</v>
      </c>
      <c r="S149" s="118"/>
      <c r="T149" s="134"/>
      <c r="U149" s="4"/>
      <c r="V149"/>
      <c r="W149"/>
    </row>
    <row r="150" spans="1:23" s="36" customFormat="1" ht="60" hidden="1" customHeight="1" outlineLevel="2" x14ac:dyDescent="0.25">
      <c r="A150" s="34" t="s">
        <v>177</v>
      </c>
      <c r="B150" s="34" t="s">
        <v>169</v>
      </c>
      <c r="C150" s="34" t="s">
        <v>1089</v>
      </c>
      <c r="D150" s="41" t="s">
        <v>1630</v>
      </c>
      <c r="E150" s="12" t="s">
        <v>170</v>
      </c>
      <c r="F150" s="12" t="s">
        <v>199</v>
      </c>
      <c r="G150" s="12"/>
      <c r="H150" s="14">
        <v>60</v>
      </c>
      <c r="I150" s="15" t="s">
        <v>258</v>
      </c>
      <c r="J150" s="89">
        <f>IF(H150&gt;0,(H150*VLOOKUP(Lookups!$K$11,Lookups!$M$10:$P$43,4,0)/VLOOKUP(I150,Lookups!$M$10:$P$43,4,0)),"")</f>
        <v>69.412936837197165</v>
      </c>
      <c r="K150" s="14"/>
      <c r="L150" s="15"/>
      <c r="M150" s="89" t="str">
        <f>IF(K150&gt;0,(K150*VLOOKUP(Lookups!$K$11,Lookups!$M$10:$P$43,4,0)/VLOOKUP(L150,Lookups!$M$10:$P$43,4,0)),"")</f>
        <v/>
      </c>
      <c r="N150" s="14"/>
      <c r="O150" s="15"/>
      <c r="P150" s="89" t="str">
        <f>IF(N150&gt;0,(N150*VLOOKUP(Lookups!$K$11,Lookups!$M$10:$P$43,4,0)/VLOOKUP(O150,Lookups!$M$10:$P$43,4,0)),"")</f>
        <v/>
      </c>
      <c r="Q150" s="160" t="s">
        <v>1580</v>
      </c>
      <c r="R150" s="15" t="s">
        <v>152</v>
      </c>
      <c r="S150" s="118"/>
      <c r="T150" s="134"/>
      <c r="U150" s="4"/>
      <c r="V150"/>
      <c r="W150"/>
    </row>
    <row r="151" spans="1:23" s="36" customFormat="1" ht="60" hidden="1" customHeight="1" outlineLevel="2" x14ac:dyDescent="0.25">
      <c r="A151" s="34" t="s">
        <v>177</v>
      </c>
      <c r="B151" s="34" t="s">
        <v>169</v>
      </c>
      <c r="C151" s="34" t="s">
        <v>1090</v>
      </c>
      <c r="D151" s="41" t="s">
        <v>1631</v>
      </c>
      <c r="E151" s="12" t="s">
        <v>170</v>
      </c>
      <c r="F151" s="12" t="s">
        <v>265</v>
      </c>
      <c r="G151" s="12" t="s">
        <v>696</v>
      </c>
      <c r="H151" s="14">
        <f>230+40</f>
        <v>270</v>
      </c>
      <c r="I151" s="15" t="s">
        <v>258</v>
      </c>
      <c r="J151" s="89">
        <f>IF(H151&gt;0,(H151*VLOOKUP(Lookups!$K$11,Lookups!$M$10:$P$43,4,0)/VLOOKUP(I151,Lookups!$M$10:$P$43,4,0)),"")</f>
        <v>312.35821576738726</v>
      </c>
      <c r="K151" s="14"/>
      <c r="L151" s="15"/>
      <c r="M151" s="89" t="str">
        <f>IF(K151&gt;0,(K151*VLOOKUP(Lookups!$K$11,Lookups!$M$10:$P$43,4,0)/VLOOKUP(L151,Lookups!$M$10:$P$43,4,0)),"")</f>
        <v/>
      </c>
      <c r="N151" s="14"/>
      <c r="O151" s="15"/>
      <c r="P151" s="89" t="str">
        <f>IF(N151&gt;0,(N151*VLOOKUP(Lookups!$K$11,Lookups!$M$10:$P$43,4,0)/VLOOKUP(O151,Lookups!$M$10:$P$43,4,0)),"")</f>
        <v/>
      </c>
      <c r="Q151" s="160" t="s">
        <v>1580</v>
      </c>
      <c r="R151" s="15" t="s">
        <v>152</v>
      </c>
      <c r="S151" s="118"/>
      <c r="T151" s="134"/>
      <c r="U151" s="4"/>
      <c r="V151"/>
      <c r="W151"/>
    </row>
    <row r="152" spans="1:23" s="36" customFormat="1" ht="60" hidden="1" customHeight="1" outlineLevel="2" x14ac:dyDescent="0.25">
      <c r="A152" s="34" t="s">
        <v>177</v>
      </c>
      <c r="B152" s="34" t="s">
        <v>169</v>
      </c>
      <c r="C152" s="34" t="s">
        <v>1091</v>
      </c>
      <c r="D152" s="41" t="s">
        <v>1632</v>
      </c>
      <c r="E152" s="12" t="s">
        <v>170</v>
      </c>
      <c r="F152" s="12" t="s">
        <v>243</v>
      </c>
      <c r="G152" s="12"/>
      <c r="H152" s="14">
        <v>30</v>
      </c>
      <c r="I152" s="15" t="s">
        <v>258</v>
      </c>
      <c r="J152" s="89">
        <f>IF(H152&gt;0,(H152*VLOOKUP(Lookups!$K$11,Lookups!$M$10:$P$43,4,0)/VLOOKUP(I152,Lookups!$M$10:$P$43,4,0)),"")</f>
        <v>34.706468418598583</v>
      </c>
      <c r="K152" s="14"/>
      <c r="L152" s="15"/>
      <c r="M152" s="89" t="str">
        <f>IF(K152&gt;0,(K152*VLOOKUP(Lookups!$K$11,Lookups!$M$10:$P$43,4,0)/VLOOKUP(L152,Lookups!$M$10:$P$43,4,0)),"")</f>
        <v/>
      </c>
      <c r="N152" s="14"/>
      <c r="O152" s="15"/>
      <c r="P152" s="89" t="str">
        <f>IF(N152&gt;0,(N152*VLOOKUP(Lookups!$K$11,Lookups!$M$10:$P$43,4,0)/VLOOKUP(O152,Lookups!$M$10:$P$43,4,0)),"")</f>
        <v/>
      </c>
      <c r="Q152" s="160" t="s">
        <v>1580</v>
      </c>
      <c r="R152" s="15" t="s">
        <v>152</v>
      </c>
      <c r="S152" s="118"/>
      <c r="T152" s="134"/>
      <c r="U152" s="4"/>
      <c r="V152"/>
      <c r="W152"/>
    </row>
    <row r="153" spans="1:23" s="36" customFormat="1" ht="60" hidden="1" customHeight="1" outlineLevel="2" x14ac:dyDescent="0.25">
      <c r="A153" s="34" t="s">
        <v>177</v>
      </c>
      <c r="B153" s="34" t="s">
        <v>169</v>
      </c>
      <c r="C153" s="34" t="s">
        <v>1092</v>
      </c>
      <c r="D153" s="41" t="s">
        <v>1633</v>
      </c>
      <c r="E153" s="12" t="s">
        <v>170</v>
      </c>
      <c r="F153" s="12" t="s">
        <v>162</v>
      </c>
      <c r="G153" s="12"/>
      <c r="H153" s="14">
        <v>90</v>
      </c>
      <c r="I153" s="15" t="s">
        <v>258</v>
      </c>
      <c r="J153" s="89">
        <f>IF(H153&gt;0,(H153*VLOOKUP(Lookups!$K$11,Lookups!$M$10:$P$43,4,0)/VLOOKUP(I153,Lookups!$M$10:$P$43,4,0)),"")</f>
        <v>104.11940525579575</v>
      </c>
      <c r="K153" s="14"/>
      <c r="L153" s="15"/>
      <c r="M153" s="89" t="str">
        <f>IF(K153&gt;0,(K153*VLOOKUP(Lookups!$K$11,Lookups!$M$10:$P$43,4,0)/VLOOKUP(L153,Lookups!$M$10:$P$43,4,0)),"")</f>
        <v/>
      </c>
      <c r="N153" s="14"/>
      <c r="O153" s="15"/>
      <c r="P153" s="89" t="str">
        <f>IF(N153&gt;0,(N153*VLOOKUP(Lookups!$K$11,Lookups!$M$10:$P$43,4,0)/VLOOKUP(O153,Lookups!$M$10:$P$43,4,0)),"")</f>
        <v/>
      </c>
      <c r="Q153" s="160" t="s">
        <v>1580</v>
      </c>
      <c r="R153" s="15" t="s">
        <v>152</v>
      </c>
      <c r="S153" s="118"/>
      <c r="T153" s="134"/>
      <c r="U153" s="4"/>
      <c r="V153"/>
      <c r="W153"/>
    </row>
    <row r="154" spans="1:23" s="36" customFormat="1" ht="60" hidden="1" customHeight="1" outlineLevel="1" collapsed="1" x14ac:dyDescent="0.25">
      <c r="A154" s="42" t="s">
        <v>177</v>
      </c>
      <c r="B154" s="42" t="s">
        <v>222</v>
      </c>
      <c r="C154" s="42" t="s">
        <v>1093</v>
      </c>
      <c r="D154" s="42" t="s">
        <v>1634</v>
      </c>
      <c r="E154" s="12" t="s">
        <v>170</v>
      </c>
      <c r="F154" s="12" t="s">
        <v>243</v>
      </c>
      <c r="G154" s="12"/>
      <c r="H154" s="14">
        <v>300</v>
      </c>
      <c r="I154" s="15" t="s">
        <v>258</v>
      </c>
      <c r="J154" s="89">
        <f>IF(H154&gt;0,(H154*VLOOKUP(Lookups!$K$11,Lookups!$M$10:$P$43,4,0)/VLOOKUP(I154,Lookups!$M$10:$P$43,4,0)),"")</f>
        <v>347.06468418598581</v>
      </c>
      <c r="K154" s="14">
        <v>780</v>
      </c>
      <c r="L154" s="15" t="s">
        <v>258</v>
      </c>
      <c r="M154" s="89">
        <f>IF(K154&gt;0,(K154*VLOOKUP(Lookups!$K$11,Lookups!$M$10:$P$43,4,0)/VLOOKUP(L154,Lookups!$M$10:$P$43,4,0)),"")</f>
        <v>902.36817888356302</v>
      </c>
      <c r="N154" s="14">
        <v>200</v>
      </c>
      <c r="O154" s="15" t="s">
        <v>258</v>
      </c>
      <c r="P154" s="89">
        <f>IF(N154&gt;0,(N154*VLOOKUP(Lookups!$K$11,Lookups!$M$10:$P$43,4,0)/VLOOKUP(O154,Lookups!$M$10:$P$43,4,0)),"")</f>
        <v>231.37645612399052</v>
      </c>
      <c r="Q154" s="160" t="s">
        <v>1580</v>
      </c>
      <c r="R154" s="15" t="s">
        <v>149</v>
      </c>
      <c r="S154" s="4" t="s">
        <v>2201</v>
      </c>
      <c r="T154" s="134"/>
      <c r="U154" s="4"/>
      <c r="V154"/>
      <c r="W154"/>
    </row>
    <row r="155" spans="1:23" s="36" customFormat="1" ht="60" hidden="1" customHeight="1" outlineLevel="2" x14ac:dyDescent="0.25">
      <c r="A155" s="34" t="s">
        <v>177</v>
      </c>
      <c r="B155" s="34" t="s">
        <v>222</v>
      </c>
      <c r="C155" s="34" t="s">
        <v>1094</v>
      </c>
      <c r="D155" s="41" t="s">
        <v>1635</v>
      </c>
      <c r="E155" s="12" t="s">
        <v>170</v>
      </c>
      <c r="F155" s="12" t="s">
        <v>632</v>
      </c>
      <c r="G155" s="12"/>
      <c r="H155" s="14">
        <v>60</v>
      </c>
      <c r="I155" s="15" t="s">
        <v>258</v>
      </c>
      <c r="J155" s="89">
        <f>IF(H155&gt;0,(H155*VLOOKUP(Lookups!$K$11,Lookups!$M$10:$P$43,4,0)/VLOOKUP(I155,Lookups!$M$10:$P$43,4,0)),"")</f>
        <v>69.412936837197165</v>
      </c>
      <c r="K155" s="14"/>
      <c r="L155" s="15"/>
      <c r="M155" s="89" t="str">
        <f>IF(K155&gt;0,(K155*VLOOKUP(Lookups!$K$11,Lookups!$M$10:$P$43,4,0)/VLOOKUP(L155,Lookups!$M$10:$P$43,4,0)),"")</f>
        <v/>
      </c>
      <c r="N155" s="14"/>
      <c r="O155" s="15"/>
      <c r="P155" s="89" t="str">
        <f>IF(N155&gt;0,(N155*VLOOKUP(Lookups!$K$11,Lookups!$M$10:$P$43,4,0)/VLOOKUP(O155,Lookups!$M$10:$P$43,4,0)),"")</f>
        <v/>
      </c>
      <c r="Q155" s="160" t="s">
        <v>1580</v>
      </c>
      <c r="R155" s="15" t="s">
        <v>149</v>
      </c>
      <c r="S155" s="118"/>
      <c r="T155" s="134"/>
      <c r="U155" s="4"/>
      <c r="V155"/>
      <c r="W155"/>
    </row>
    <row r="156" spans="1:23" s="36" customFormat="1" ht="60" hidden="1" customHeight="1" outlineLevel="2" x14ac:dyDescent="0.25">
      <c r="A156" s="34" t="s">
        <v>177</v>
      </c>
      <c r="B156" s="34" t="s">
        <v>222</v>
      </c>
      <c r="C156" s="34" t="s">
        <v>1095</v>
      </c>
      <c r="D156" s="41" t="s">
        <v>1636</v>
      </c>
      <c r="E156" s="12" t="s">
        <v>170</v>
      </c>
      <c r="F156" s="12" t="s">
        <v>199</v>
      </c>
      <c r="G156" s="12"/>
      <c r="H156" s="14">
        <v>10</v>
      </c>
      <c r="I156" s="15" t="s">
        <v>258</v>
      </c>
      <c r="J156" s="89">
        <f>IF(H156&gt;0,(H156*VLOOKUP(Lookups!$K$11,Lookups!$M$10:$P$43,4,0)/VLOOKUP(I156,Lookups!$M$10:$P$43,4,0)),"")</f>
        <v>11.568822806199528</v>
      </c>
      <c r="K156" s="14"/>
      <c r="L156" s="15"/>
      <c r="M156" s="89" t="str">
        <f>IF(K156&gt;0,(K156*VLOOKUP(Lookups!$K$11,Lookups!$M$10:$P$43,4,0)/VLOOKUP(L156,Lookups!$M$10:$P$43,4,0)),"")</f>
        <v/>
      </c>
      <c r="N156" s="14"/>
      <c r="O156" s="15"/>
      <c r="P156" s="89" t="str">
        <f>IF(N156&gt;0,(N156*VLOOKUP(Lookups!$K$11,Lookups!$M$10:$P$43,4,0)/VLOOKUP(O156,Lookups!$M$10:$P$43,4,0)),"")</f>
        <v/>
      </c>
      <c r="Q156" s="160" t="s">
        <v>1580</v>
      </c>
      <c r="R156" s="15" t="s">
        <v>149</v>
      </c>
      <c r="S156" s="118"/>
      <c r="T156" s="134"/>
      <c r="U156" s="4"/>
      <c r="V156"/>
      <c r="W156"/>
    </row>
    <row r="157" spans="1:23" s="36" customFormat="1" ht="60" hidden="1" customHeight="1" outlineLevel="2" x14ac:dyDescent="0.25">
      <c r="A157" s="34" t="s">
        <v>177</v>
      </c>
      <c r="B157" s="34" t="s">
        <v>222</v>
      </c>
      <c r="C157" s="34" t="s">
        <v>1096</v>
      </c>
      <c r="D157" s="41" t="s">
        <v>1637</v>
      </c>
      <c r="E157" s="12" t="s">
        <v>170</v>
      </c>
      <c r="F157" s="12" t="s">
        <v>265</v>
      </c>
      <c r="G157" s="12" t="s">
        <v>696</v>
      </c>
      <c r="H157" s="14">
        <v>140</v>
      </c>
      <c r="I157" s="15" t="s">
        <v>258</v>
      </c>
      <c r="J157" s="89">
        <f>IF(H157&gt;0,(H157*VLOOKUP(Lookups!$K$11,Lookups!$M$10:$P$43,4,0)/VLOOKUP(I157,Lookups!$M$10:$P$43,4,0)),"")</f>
        <v>161.9635192867934</v>
      </c>
      <c r="K157" s="14"/>
      <c r="L157" s="15"/>
      <c r="M157" s="89" t="str">
        <f>IF(K157&gt;0,(K157*VLOOKUP(Lookups!$K$11,Lookups!$M$10:$P$43,4,0)/VLOOKUP(L157,Lookups!$M$10:$P$43,4,0)),"")</f>
        <v/>
      </c>
      <c r="N157" s="14"/>
      <c r="O157" s="15"/>
      <c r="P157" s="89" t="str">
        <f>IF(N157&gt;0,(N157*VLOOKUP(Lookups!$K$11,Lookups!$M$10:$P$43,4,0)/VLOOKUP(O157,Lookups!$M$10:$P$43,4,0)),"")</f>
        <v/>
      </c>
      <c r="Q157" s="160" t="s">
        <v>1580</v>
      </c>
      <c r="R157" s="15" t="s">
        <v>149</v>
      </c>
      <c r="S157" s="118"/>
      <c r="T157" s="134"/>
      <c r="U157" s="4"/>
      <c r="V157"/>
      <c r="W157"/>
    </row>
    <row r="158" spans="1:23" s="36" customFormat="1" ht="60" hidden="1" customHeight="1" outlineLevel="2" x14ac:dyDescent="0.25">
      <c r="A158" s="34" t="s">
        <v>177</v>
      </c>
      <c r="B158" s="34" t="s">
        <v>222</v>
      </c>
      <c r="C158" s="34" t="s">
        <v>1097</v>
      </c>
      <c r="D158" s="41" t="s">
        <v>1638</v>
      </c>
      <c r="E158" s="12" t="s">
        <v>170</v>
      </c>
      <c r="F158" s="12" t="s">
        <v>205</v>
      </c>
      <c r="G158" s="12"/>
      <c r="H158" s="14">
        <v>10</v>
      </c>
      <c r="I158" s="15" t="s">
        <v>258</v>
      </c>
      <c r="J158" s="89">
        <f>IF(H158&gt;0,(H158*VLOOKUP(Lookups!$K$11,Lookups!$M$10:$P$43,4,0)/VLOOKUP(I158,Lookups!$M$10:$P$43,4,0)),"")</f>
        <v>11.568822806199528</v>
      </c>
      <c r="K158" s="14"/>
      <c r="L158" s="15"/>
      <c r="M158" s="89" t="str">
        <f>IF(K158&gt;0,(K158*VLOOKUP(Lookups!$K$11,Lookups!$M$10:$P$43,4,0)/VLOOKUP(L158,Lookups!$M$10:$P$43,4,0)),"")</f>
        <v/>
      </c>
      <c r="N158" s="14"/>
      <c r="O158" s="15"/>
      <c r="P158" s="89" t="str">
        <f>IF(N158&gt;0,(N158*VLOOKUP(Lookups!$K$11,Lookups!$M$10:$P$43,4,0)/VLOOKUP(O158,Lookups!$M$10:$P$43,4,0)),"")</f>
        <v/>
      </c>
      <c r="Q158" s="160" t="s">
        <v>1580</v>
      </c>
      <c r="R158" s="15" t="s">
        <v>149</v>
      </c>
      <c r="S158" s="118"/>
      <c r="T158" s="134"/>
      <c r="U158" s="4"/>
      <c r="V158"/>
      <c r="W158"/>
    </row>
    <row r="159" spans="1:23" s="36" customFormat="1" ht="60" hidden="1" customHeight="1" outlineLevel="2" x14ac:dyDescent="0.25">
      <c r="A159" s="34" t="s">
        <v>177</v>
      </c>
      <c r="B159" s="34" t="s">
        <v>222</v>
      </c>
      <c r="C159" s="34" t="s">
        <v>1098</v>
      </c>
      <c r="D159" s="41" t="s">
        <v>1639</v>
      </c>
      <c r="E159" s="12" t="s">
        <v>170</v>
      </c>
      <c r="F159" s="12" t="s">
        <v>162</v>
      </c>
      <c r="G159" s="12"/>
      <c r="H159" s="14">
        <v>70</v>
      </c>
      <c r="I159" s="15" t="s">
        <v>258</v>
      </c>
      <c r="J159" s="89">
        <f>IF(H159&gt;0,(H159*VLOOKUP(Lookups!$K$11,Lookups!$M$10:$P$43,4,0)/VLOOKUP(I159,Lookups!$M$10:$P$43,4,0)),"")</f>
        <v>80.9817596433967</v>
      </c>
      <c r="K159" s="14"/>
      <c r="L159" s="15"/>
      <c r="M159" s="89" t="str">
        <f>IF(K159&gt;0,(K159*VLOOKUP(Lookups!$K$11,Lookups!$M$10:$P$43,4,0)/VLOOKUP(L159,Lookups!$M$10:$P$43,4,0)),"")</f>
        <v/>
      </c>
      <c r="N159" s="14"/>
      <c r="O159" s="15"/>
      <c r="P159" s="89" t="str">
        <f>IF(N159&gt;0,(N159*VLOOKUP(Lookups!$K$11,Lookups!$M$10:$P$43,4,0)/VLOOKUP(O159,Lookups!$M$10:$P$43,4,0)),"")</f>
        <v/>
      </c>
      <c r="Q159" s="160" t="s">
        <v>1580</v>
      </c>
      <c r="R159" s="15" t="s">
        <v>149</v>
      </c>
      <c r="S159" s="118"/>
      <c r="T159" s="134"/>
      <c r="U159" s="4"/>
      <c r="V159"/>
      <c r="W159"/>
    </row>
    <row r="160" spans="1:23" s="36" customFormat="1" ht="60" hidden="1" customHeight="1" outlineLevel="1" x14ac:dyDescent="0.25">
      <c r="A160" s="42" t="s">
        <v>177</v>
      </c>
      <c r="B160" s="42" t="s">
        <v>222</v>
      </c>
      <c r="C160" s="42" t="s">
        <v>1099</v>
      </c>
      <c r="D160" s="42" t="s">
        <v>2352</v>
      </c>
      <c r="E160" s="12" t="s">
        <v>170</v>
      </c>
      <c r="F160" s="12" t="s">
        <v>243</v>
      </c>
      <c r="G160" s="12"/>
      <c r="H160" s="14">
        <v>50</v>
      </c>
      <c r="I160" s="15" t="s">
        <v>258</v>
      </c>
      <c r="J160" s="89">
        <f>IF(H160&gt;0,(H160*VLOOKUP(Lookups!$K$11,Lookups!$M$10:$P$43,4,0)/VLOOKUP(I160,Lookups!$M$10:$P$43,4,0)),"")</f>
        <v>57.84411403099763</v>
      </c>
      <c r="K160" s="14">
        <v>350</v>
      </c>
      <c r="L160" s="15" t="s">
        <v>258</v>
      </c>
      <c r="M160" s="89">
        <f>IF(K160&gt;0,(K160*VLOOKUP(Lookups!$K$11,Lookups!$M$10:$P$43,4,0)/VLOOKUP(L160,Lookups!$M$10:$P$43,4,0)),"")</f>
        <v>404.90879821698348</v>
      </c>
      <c r="N160" s="14">
        <v>150</v>
      </c>
      <c r="O160" s="15" t="s">
        <v>258</v>
      </c>
      <c r="P160" s="89">
        <f>IF(N160&gt;0,(N160*VLOOKUP(Lookups!$K$11,Lookups!$M$10:$P$43,4,0)/VLOOKUP(O160,Lookups!$M$10:$P$43,4,0)),"")</f>
        <v>173.53234209299291</v>
      </c>
      <c r="Q160" s="160" t="s">
        <v>1580</v>
      </c>
      <c r="R160" s="15" t="s">
        <v>149</v>
      </c>
      <c r="S160" s="4" t="s">
        <v>1692</v>
      </c>
      <c r="T160" s="134"/>
      <c r="U160" s="4"/>
      <c r="V160"/>
      <c r="W160"/>
    </row>
    <row r="161" spans="1:23" s="36" customFormat="1" ht="60" hidden="1" customHeight="1" outlineLevel="1" collapsed="1" x14ac:dyDescent="0.25">
      <c r="A161" s="42" t="s">
        <v>177</v>
      </c>
      <c r="B161" s="42" t="s">
        <v>222</v>
      </c>
      <c r="C161" s="42" t="s">
        <v>1100</v>
      </c>
      <c r="D161" s="42" t="s">
        <v>874</v>
      </c>
      <c r="E161" s="12" t="s">
        <v>170</v>
      </c>
      <c r="F161" s="12" t="s">
        <v>243</v>
      </c>
      <c r="G161" s="12"/>
      <c r="H161" s="14">
        <v>5300</v>
      </c>
      <c r="I161" s="15" t="s">
        <v>258</v>
      </c>
      <c r="J161" s="89">
        <f>IF(H161&gt;0,(H161*VLOOKUP(Lookups!$K$11,Lookups!$M$10:$P$43,4,0)/VLOOKUP(I161,Lookups!$M$10:$P$43,4,0)),"")</f>
        <v>6131.4760872857496</v>
      </c>
      <c r="K161" s="14">
        <v>5530</v>
      </c>
      <c r="L161" s="15" t="s">
        <v>258</v>
      </c>
      <c r="M161" s="89">
        <f>IF(K161&gt;0,(K161*VLOOKUP(Lookups!$K$11,Lookups!$M$10:$P$43,4,0)/VLOOKUP(L161,Lookups!$M$10:$P$43,4,0)),"")</f>
        <v>6397.559011828338</v>
      </c>
      <c r="N161" s="14">
        <v>4170</v>
      </c>
      <c r="O161" s="15" t="s">
        <v>258</v>
      </c>
      <c r="P161" s="89">
        <f>IF(N161&gt;0,(N161*VLOOKUP(Lookups!$K$11,Lookups!$M$10:$P$43,4,0)/VLOOKUP(O161,Lookups!$M$10:$P$43,4,0)),"")</f>
        <v>4824.1991101852027</v>
      </c>
      <c r="Q161" s="160" t="s">
        <v>1580</v>
      </c>
      <c r="R161" s="15" t="s">
        <v>152</v>
      </c>
      <c r="S161" s="4" t="s">
        <v>1685</v>
      </c>
      <c r="T161" s="134"/>
      <c r="U161" s="4"/>
      <c r="V161"/>
      <c r="W161"/>
    </row>
    <row r="162" spans="1:23" s="36" customFormat="1" ht="60" hidden="1" customHeight="1" outlineLevel="2" x14ac:dyDescent="0.25">
      <c r="A162" s="34" t="s">
        <v>177</v>
      </c>
      <c r="B162" s="34" t="s">
        <v>222</v>
      </c>
      <c r="C162" s="34" t="s">
        <v>1101</v>
      </c>
      <c r="D162" s="41" t="s">
        <v>977</v>
      </c>
      <c r="E162" s="12" t="s">
        <v>170</v>
      </c>
      <c r="F162" s="12" t="s">
        <v>632</v>
      </c>
      <c r="G162" s="12"/>
      <c r="H162" s="14">
        <v>1010</v>
      </c>
      <c r="I162" s="15" t="s">
        <v>258</v>
      </c>
      <c r="J162" s="89">
        <f>IF(H162&gt;0,(H162*VLOOKUP(Lookups!$K$11,Lookups!$M$10:$P$43,4,0)/VLOOKUP(I162,Lookups!$M$10:$P$43,4,0)),"")</f>
        <v>1168.4511034261523</v>
      </c>
      <c r="K162" s="14"/>
      <c r="L162" s="15"/>
      <c r="M162" s="89" t="str">
        <f>IF(K162&gt;0,(K162*VLOOKUP(Lookups!$K$11,Lookups!$M$10:$P$43,4,0)/VLOOKUP(L162,Lookups!$M$10:$P$43,4,0)),"")</f>
        <v/>
      </c>
      <c r="N162" s="14"/>
      <c r="O162" s="15"/>
      <c r="P162" s="89" t="str">
        <f>IF(N162&gt;0,(N162*VLOOKUP(Lookups!$K$11,Lookups!$M$10:$P$43,4,0)/VLOOKUP(O162,Lookups!$M$10:$P$43,4,0)),"")</f>
        <v/>
      </c>
      <c r="Q162" s="160" t="s">
        <v>1580</v>
      </c>
      <c r="R162" s="15" t="s">
        <v>152</v>
      </c>
      <c r="S162" s="118"/>
      <c r="T162" s="134"/>
      <c r="U162" s="4"/>
      <c r="V162"/>
      <c r="W162"/>
    </row>
    <row r="163" spans="1:23" s="36" customFormat="1" ht="60" hidden="1" customHeight="1" outlineLevel="2" x14ac:dyDescent="0.25">
      <c r="A163" s="34" t="s">
        <v>177</v>
      </c>
      <c r="B163" s="34" t="s">
        <v>222</v>
      </c>
      <c r="C163" s="34" t="s">
        <v>1102</v>
      </c>
      <c r="D163" s="41" t="s">
        <v>882</v>
      </c>
      <c r="E163" s="12" t="s">
        <v>170</v>
      </c>
      <c r="F163" s="12" t="s">
        <v>199</v>
      </c>
      <c r="G163" s="12"/>
      <c r="H163" s="14">
        <v>170</v>
      </c>
      <c r="I163" s="15" t="s">
        <v>258</v>
      </c>
      <c r="J163" s="89">
        <f>IF(H163&gt;0,(H163*VLOOKUP(Lookups!$K$11,Lookups!$M$10:$P$43,4,0)/VLOOKUP(I163,Lookups!$M$10:$P$43,4,0)),"")</f>
        <v>196.66998770539197</v>
      </c>
      <c r="K163" s="14"/>
      <c r="L163" s="15"/>
      <c r="M163" s="89" t="str">
        <f>IF(K163&gt;0,(K163*VLOOKUP(Lookups!$K$11,Lookups!$M$10:$P$43,4,0)/VLOOKUP(L163,Lookups!$M$10:$P$43,4,0)),"")</f>
        <v/>
      </c>
      <c r="N163" s="14"/>
      <c r="O163" s="15"/>
      <c r="P163" s="89" t="str">
        <f>IF(N163&gt;0,(N163*VLOOKUP(Lookups!$K$11,Lookups!$M$10:$P$43,4,0)/VLOOKUP(O163,Lookups!$M$10:$P$43,4,0)),"")</f>
        <v/>
      </c>
      <c r="Q163" s="160" t="s">
        <v>1580</v>
      </c>
      <c r="R163" s="15" t="s">
        <v>152</v>
      </c>
      <c r="S163" s="118"/>
      <c r="T163" s="134"/>
      <c r="U163" s="4"/>
      <c r="V163"/>
      <c r="W163"/>
    </row>
    <row r="164" spans="1:23" s="36" customFormat="1" ht="60" hidden="1" customHeight="1" outlineLevel="2" x14ac:dyDescent="0.25">
      <c r="A164" s="34" t="s">
        <v>177</v>
      </c>
      <c r="B164" s="34" t="s">
        <v>222</v>
      </c>
      <c r="C164" s="34" t="s">
        <v>1103</v>
      </c>
      <c r="D164" s="41" t="s">
        <v>890</v>
      </c>
      <c r="E164" s="12" t="s">
        <v>170</v>
      </c>
      <c r="F164" s="12" t="s">
        <v>265</v>
      </c>
      <c r="G164" s="12" t="s">
        <v>696</v>
      </c>
      <c r="H164" s="14">
        <f>60+1900+70+10+120+190</f>
        <v>2350</v>
      </c>
      <c r="I164" s="15" t="s">
        <v>258</v>
      </c>
      <c r="J164" s="89">
        <f>IF(H164&gt;0,(H164*VLOOKUP(Lookups!$K$11,Lookups!$M$10:$P$43,4,0)/VLOOKUP(I164,Lookups!$M$10:$P$43,4,0)),"")</f>
        <v>2718.6733594568891</v>
      </c>
      <c r="K164" s="14"/>
      <c r="L164" s="15"/>
      <c r="M164" s="89" t="str">
        <f>IF(K164&gt;0,(K164*VLOOKUP(Lookups!$K$11,Lookups!$M$10:$P$43,4,0)/VLOOKUP(L164,Lookups!$M$10:$P$43,4,0)),"")</f>
        <v/>
      </c>
      <c r="N164" s="14"/>
      <c r="O164" s="15"/>
      <c r="P164" s="89" t="str">
        <f>IF(N164&gt;0,(N164*VLOOKUP(Lookups!$K$11,Lookups!$M$10:$P$43,4,0)/VLOOKUP(O164,Lookups!$M$10:$P$43,4,0)),"")</f>
        <v/>
      </c>
      <c r="Q164" s="160" t="s">
        <v>1580</v>
      </c>
      <c r="R164" s="15" t="s">
        <v>152</v>
      </c>
      <c r="S164" s="118"/>
      <c r="T164" s="134"/>
      <c r="U164" s="4"/>
      <c r="V164"/>
      <c r="W164"/>
    </row>
    <row r="165" spans="1:23" s="36" customFormat="1" ht="60" hidden="1" customHeight="1" outlineLevel="2" x14ac:dyDescent="0.25">
      <c r="A165" s="34" t="s">
        <v>177</v>
      </c>
      <c r="B165" s="34" t="s">
        <v>222</v>
      </c>
      <c r="C165" s="34" t="s">
        <v>1104</v>
      </c>
      <c r="D165" s="41" t="s">
        <v>896</v>
      </c>
      <c r="E165" s="12" t="s">
        <v>170</v>
      </c>
      <c r="F165" s="12" t="s">
        <v>205</v>
      </c>
      <c r="G165" s="12"/>
      <c r="H165" s="14">
        <v>950</v>
      </c>
      <c r="I165" s="15" t="s">
        <v>258</v>
      </c>
      <c r="J165" s="89">
        <f>IF(H165&gt;0,(H165*VLOOKUP(Lookups!$K$11,Lookups!$M$10:$P$43,4,0)/VLOOKUP(I165,Lookups!$M$10:$P$43,4,0)),"")</f>
        <v>1099.0381665889552</v>
      </c>
      <c r="K165" s="14"/>
      <c r="L165" s="15"/>
      <c r="M165" s="89" t="str">
        <f>IF(K165&gt;0,(K165*VLOOKUP(Lookups!$K$11,Lookups!$M$10:$P$43,4,0)/VLOOKUP(L165,Lookups!$M$10:$P$43,4,0)),"")</f>
        <v/>
      </c>
      <c r="N165" s="14"/>
      <c r="O165" s="15"/>
      <c r="P165" s="89" t="str">
        <f>IF(N165&gt;0,(N165*VLOOKUP(Lookups!$K$11,Lookups!$M$10:$P$43,4,0)/VLOOKUP(O165,Lookups!$M$10:$P$43,4,0)),"")</f>
        <v/>
      </c>
      <c r="Q165" s="160" t="s">
        <v>1580</v>
      </c>
      <c r="R165" s="15" t="s">
        <v>152</v>
      </c>
      <c r="S165" s="118"/>
      <c r="T165" s="134"/>
      <c r="U165" s="4"/>
      <c r="V165"/>
      <c r="W165"/>
    </row>
    <row r="166" spans="1:23" s="36" customFormat="1" ht="60" hidden="1" customHeight="1" outlineLevel="2" x14ac:dyDescent="0.25">
      <c r="A166" s="34" t="s">
        <v>177</v>
      </c>
      <c r="B166" s="34" t="s">
        <v>222</v>
      </c>
      <c r="C166" s="34" t="s">
        <v>1105</v>
      </c>
      <c r="D166" s="41" t="s">
        <v>840</v>
      </c>
      <c r="E166" s="12" t="s">
        <v>170</v>
      </c>
      <c r="F166" s="12" t="s">
        <v>243</v>
      </c>
      <c r="G166" s="12"/>
      <c r="H166" s="14">
        <f>210</f>
        <v>210</v>
      </c>
      <c r="I166" s="15" t="s">
        <v>258</v>
      </c>
      <c r="J166" s="89">
        <f>IF(H166&gt;0,(H166*VLOOKUP(Lookups!$K$11,Lookups!$M$10:$P$43,4,0)/VLOOKUP(I166,Lookups!$M$10:$P$43,4,0)),"")</f>
        <v>242.94527893019006</v>
      </c>
      <c r="K166" s="14"/>
      <c r="L166" s="15"/>
      <c r="M166" s="89" t="str">
        <f>IF(K166&gt;0,(K166*VLOOKUP(Lookups!$K$11,Lookups!$M$10:$P$43,4,0)/VLOOKUP(L166,Lookups!$M$10:$P$43,4,0)),"")</f>
        <v/>
      </c>
      <c r="N166" s="14"/>
      <c r="O166" s="15"/>
      <c r="P166" s="89" t="str">
        <f>IF(N166&gt;0,(N166*VLOOKUP(Lookups!$K$11,Lookups!$M$10:$P$43,4,0)/VLOOKUP(O166,Lookups!$M$10:$P$43,4,0)),"")</f>
        <v/>
      </c>
      <c r="Q166" s="160" t="s">
        <v>1580</v>
      </c>
      <c r="R166" s="15" t="s">
        <v>152</v>
      </c>
      <c r="S166" s="118"/>
      <c r="T166" s="134"/>
      <c r="U166" s="4"/>
      <c r="V166"/>
      <c r="W166"/>
    </row>
    <row r="167" spans="1:23" s="36" customFormat="1" ht="60" hidden="1" customHeight="1" outlineLevel="2" x14ac:dyDescent="0.25">
      <c r="A167" s="34" t="s">
        <v>177</v>
      </c>
      <c r="B167" s="34" t="s">
        <v>222</v>
      </c>
      <c r="C167" s="34" t="s">
        <v>1698</v>
      </c>
      <c r="D167" s="41" t="s">
        <v>900</v>
      </c>
      <c r="E167" s="12" t="s">
        <v>170</v>
      </c>
      <c r="F167" s="12" t="s">
        <v>162</v>
      </c>
      <c r="G167" s="12"/>
      <c r="H167" s="14">
        <v>600</v>
      </c>
      <c r="I167" s="15" t="s">
        <v>258</v>
      </c>
      <c r="J167" s="89">
        <f>IF(H167&gt;0,(H167*VLOOKUP(Lookups!$K$11,Lookups!$M$10:$P$43,4,0)/VLOOKUP(I167,Lookups!$M$10:$P$43,4,0)),"")</f>
        <v>694.12936837197162</v>
      </c>
      <c r="K167" s="14"/>
      <c r="L167" s="15"/>
      <c r="M167" s="89" t="str">
        <f>IF(K167&gt;0,(K167*VLOOKUP(Lookups!$K$11,Lookups!$M$10:$P$43,4,0)/VLOOKUP(L167,Lookups!$M$10:$P$43,4,0)),"")</f>
        <v/>
      </c>
      <c r="N167" s="14"/>
      <c r="O167" s="15"/>
      <c r="P167" s="89" t="str">
        <f>IF(N167&gt;0,(N167*VLOOKUP(Lookups!$K$11,Lookups!$M$10:$P$43,4,0)/VLOOKUP(O167,Lookups!$M$10:$P$43,4,0)),"")</f>
        <v/>
      </c>
      <c r="Q167" s="160" t="s">
        <v>1580</v>
      </c>
      <c r="R167" s="15" t="s">
        <v>152</v>
      </c>
      <c r="S167" s="118"/>
      <c r="T167" s="134"/>
      <c r="U167" s="4"/>
      <c r="V167"/>
      <c r="W167"/>
    </row>
    <row r="168" spans="1:23" s="36" customFormat="1" ht="60" hidden="1" customHeight="1" outlineLevel="1" collapsed="1" x14ac:dyDescent="0.25">
      <c r="A168" s="42" t="s">
        <v>177</v>
      </c>
      <c r="B168" s="42" t="s">
        <v>169</v>
      </c>
      <c r="C168" s="42" t="s">
        <v>1106</v>
      </c>
      <c r="D168" s="42" t="s">
        <v>1641</v>
      </c>
      <c r="E168" s="12" t="s">
        <v>170</v>
      </c>
      <c r="F168" s="12" t="s">
        <v>147</v>
      </c>
      <c r="G168" s="12"/>
      <c r="H168" s="14">
        <v>2930</v>
      </c>
      <c r="I168" s="15" t="s">
        <v>258</v>
      </c>
      <c r="J168" s="89">
        <f>IF(H168&gt;0,(H168*VLOOKUP(Lookups!$K$11,Lookups!$M$10:$P$43,4,0)/VLOOKUP(I168,Lookups!$M$10:$P$43,4,0)),"")</f>
        <v>3389.6650822164615</v>
      </c>
      <c r="K168" s="14">
        <v>12010</v>
      </c>
      <c r="L168" s="15" t="s">
        <v>258</v>
      </c>
      <c r="M168" s="89">
        <f>IF(K168&gt;0,(K168*VLOOKUP(Lookups!$K$11,Lookups!$M$10:$P$43,4,0)/VLOOKUP(L168,Lookups!$M$10:$P$43,4,0)),"")</f>
        <v>13894.156190245632</v>
      </c>
      <c r="N168" s="14">
        <v>510</v>
      </c>
      <c r="O168" s="15" t="s">
        <v>258</v>
      </c>
      <c r="P168" s="89">
        <f>IF(N168&gt;0,(N168*VLOOKUP(Lookups!$K$11,Lookups!$M$10:$P$43,4,0)/VLOOKUP(O168,Lookups!$M$10:$P$43,4,0)),"")</f>
        <v>590.00996311617587</v>
      </c>
      <c r="Q168" s="160" t="s">
        <v>1580</v>
      </c>
      <c r="R168" s="15" t="s">
        <v>152</v>
      </c>
      <c r="S168" s="4" t="s">
        <v>1686</v>
      </c>
      <c r="T168" s="134"/>
      <c r="U168" s="4"/>
      <c r="V168"/>
      <c r="W168"/>
    </row>
    <row r="169" spans="1:23" s="36" customFormat="1" ht="60" hidden="1" customHeight="1" outlineLevel="2" x14ac:dyDescent="0.25">
      <c r="A169" s="34" t="s">
        <v>177</v>
      </c>
      <c r="B169" s="34" t="s">
        <v>169</v>
      </c>
      <c r="C169" s="34" t="s">
        <v>1107</v>
      </c>
      <c r="D169" s="41" t="s">
        <v>1642</v>
      </c>
      <c r="E169" s="12" t="s">
        <v>170</v>
      </c>
      <c r="F169" s="12" t="s">
        <v>632</v>
      </c>
      <c r="G169" s="12"/>
      <c r="H169" s="14">
        <v>530</v>
      </c>
      <c r="I169" s="15" t="s">
        <v>258</v>
      </c>
      <c r="J169" s="89">
        <f>IF(H169&gt;0,(H169*VLOOKUP(Lookups!$K$11,Lookups!$M$10:$P$43,4,0)/VLOOKUP(I169,Lookups!$M$10:$P$43,4,0)),"")</f>
        <v>613.14760872857494</v>
      </c>
      <c r="K169" s="14"/>
      <c r="L169" s="15"/>
      <c r="M169" s="89" t="str">
        <f>IF(K169&gt;0,(K169*VLOOKUP(Lookups!$K$11,Lookups!$M$10:$P$43,4,0)/VLOOKUP(L169,Lookups!$M$10:$P$43,4,0)),"")</f>
        <v/>
      </c>
      <c r="N169" s="14"/>
      <c r="O169" s="15"/>
      <c r="P169" s="89" t="str">
        <f>IF(N169&gt;0,(N169*VLOOKUP(Lookups!$K$11,Lookups!$M$10:$P$43,4,0)/VLOOKUP(O169,Lookups!$M$10:$P$43,4,0)),"")</f>
        <v/>
      </c>
      <c r="Q169" s="160" t="s">
        <v>1580</v>
      </c>
      <c r="R169" s="15" t="s">
        <v>152</v>
      </c>
      <c r="S169" s="118"/>
      <c r="T169" s="134"/>
      <c r="U169" s="4"/>
      <c r="V169"/>
      <c r="W169"/>
    </row>
    <row r="170" spans="1:23" s="36" customFormat="1" ht="60" hidden="1" customHeight="1" outlineLevel="2" x14ac:dyDescent="0.25">
      <c r="A170" s="34" t="s">
        <v>177</v>
      </c>
      <c r="B170" s="34" t="s">
        <v>169</v>
      </c>
      <c r="C170" s="34" t="s">
        <v>1108</v>
      </c>
      <c r="D170" s="41" t="s">
        <v>1643</v>
      </c>
      <c r="E170" s="12" t="s">
        <v>170</v>
      </c>
      <c r="F170" s="12" t="s">
        <v>199</v>
      </c>
      <c r="G170" s="12"/>
      <c r="H170" s="14">
        <v>310</v>
      </c>
      <c r="I170" s="15" t="s">
        <v>258</v>
      </c>
      <c r="J170" s="89">
        <f>IF(H170&gt;0,(H170*VLOOKUP(Lookups!$K$11,Lookups!$M$10:$P$43,4,0)/VLOOKUP(I170,Lookups!$M$10:$P$43,4,0)),"")</f>
        <v>358.63350699218535</v>
      </c>
      <c r="K170" s="14"/>
      <c r="L170" s="15"/>
      <c r="M170" s="89" t="str">
        <f>IF(K170&gt;0,(K170*VLOOKUP(Lookups!$K$11,Lookups!$M$10:$P$43,4,0)/VLOOKUP(L170,Lookups!$M$10:$P$43,4,0)),"")</f>
        <v/>
      </c>
      <c r="N170" s="14"/>
      <c r="O170" s="15"/>
      <c r="P170" s="89" t="str">
        <f>IF(N170&gt;0,(N170*VLOOKUP(Lookups!$K$11,Lookups!$M$10:$P$43,4,0)/VLOOKUP(O170,Lookups!$M$10:$P$43,4,0)),"")</f>
        <v/>
      </c>
      <c r="Q170" s="160" t="s">
        <v>1580</v>
      </c>
      <c r="R170" s="15" t="s">
        <v>152</v>
      </c>
      <c r="S170" s="118"/>
      <c r="T170" s="134"/>
      <c r="U170" s="4"/>
      <c r="V170"/>
      <c r="W170"/>
    </row>
    <row r="171" spans="1:23" s="36" customFormat="1" ht="60" hidden="1" customHeight="1" outlineLevel="2" x14ac:dyDescent="0.25">
      <c r="A171" s="34" t="s">
        <v>177</v>
      </c>
      <c r="B171" s="34" t="s">
        <v>169</v>
      </c>
      <c r="C171" s="34" t="s">
        <v>1109</v>
      </c>
      <c r="D171" s="41" t="s">
        <v>1644</v>
      </c>
      <c r="E171" s="12" t="s">
        <v>170</v>
      </c>
      <c r="F171" s="12" t="s">
        <v>265</v>
      </c>
      <c r="G171" s="12" t="s">
        <v>696</v>
      </c>
      <c r="H171" s="14">
        <f>20+1130+60+30+40+170</f>
        <v>1450</v>
      </c>
      <c r="I171" s="15" t="s">
        <v>258</v>
      </c>
      <c r="J171" s="89">
        <f>IF(H171&gt;0,(H171*VLOOKUP(Lookups!$K$11,Lookups!$M$10:$P$43,4,0)/VLOOKUP(I171,Lookups!$M$10:$P$43,4,0)),"")</f>
        <v>1677.4793068989313</v>
      </c>
      <c r="K171" s="14"/>
      <c r="L171" s="15"/>
      <c r="M171" s="89" t="str">
        <f>IF(K171&gt;0,(K171*VLOOKUP(Lookups!$K$11,Lookups!$M$10:$P$43,4,0)/VLOOKUP(L171,Lookups!$M$10:$P$43,4,0)),"")</f>
        <v/>
      </c>
      <c r="N171" s="14"/>
      <c r="O171" s="15"/>
      <c r="P171" s="89" t="str">
        <f>IF(N171&gt;0,(N171*VLOOKUP(Lookups!$K$11,Lookups!$M$10:$P$43,4,0)/VLOOKUP(O171,Lookups!$M$10:$P$43,4,0)),"")</f>
        <v/>
      </c>
      <c r="Q171" s="160" t="s">
        <v>1580</v>
      </c>
      <c r="R171" s="15" t="s">
        <v>152</v>
      </c>
      <c r="S171" s="118"/>
      <c r="T171" s="134"/>
      <c r="U171" s="4"/>
      <c r="V171"/>
      <c r="W171"/>
    </row>
    <row r="172" spans="1:23" s="36" customFormat="1" ht="60" hidden="1" customHeight="1" outlineLevel="2" x14ac:dyDescent="0.25">
      <c r="A172" s="34" t="s">
        <v>177</v>
      </c>
      <c r="B172" s="34" t="s">
        <v>169</v>
      </c>
      <c r="C172" s="34" t="s">
        <v>1110</v>
      </c>
      <c r="D172" s="41" t="s">
        <v>1645</v>
      </c>
      <c r="E172" s="12" t="s">
        <v>170</v>
      </c>
      <c r="F172" s="12" t="s">
        <v>205</v>
      </c>
      <c r="G172" s="12"/>
      <c r="H172" s="14">
        <v>290</v>
      </c>
      <c r="I172" s="15" t="s">
        <v>258</v>
      </c>
      <c r="J172" s="89">
        <f>IF(H172&gt;0,(H172*VLOOKUP(Lookups!$K$11,Lookups!$M$10:$P$43,4,0)/VLOOKUP(I172,Lookups!$M$10:$P$43,4,0)),"")</f>
        <v>335.49586137978633</v>
      </c>
      <c r="K172" s="14"/>
      <c r="L172" s="15"/>
      <c r="M172" s="89" t="str">
        <f>IF(K172&gt;0,(K172*VLOOKUP(Lookups!$K$11,Lookups!$M$10:$P$43,4,0)/VLOOKUP(L172,Lookups!$M$10:$P$43,4,0)),"")</f>
        <v/>
      </c>
      <c r="N172" s="14"/>
      <c r="O172" s="15"/>
      <c r="P172" s="89" t="str">
        <f>IF(N172&gt;0,(N172*VLOOKUP(Lookups!$K$11,Lookups!$M$10:$P$43,4,0)/VLOOKUP(O172,Lookups!$M$10:$P$43,4,0)),"")</f>
        <v/>
      </c>
      <c r="Q172" s="160" t="s">
        <v>1580</v>
      </c>
      <c r="R172" s="15" t="s">
        <v>152</v>
      </c>
      <c r="S172" s="118"/>
      <c r="T172" s="134"/>
      <c r="U172" s="4"/>
      <c r="V172"/>
      <c r="W172"/>
    </row>
    <row r="173" spans="1:23" s="36" customFormat="1" ht="60" hidden="1" customHeight="1" outlineLevel="2" x14ac:dyDescent="0.25">
      <c r="A173" s="34" t="s">
        <v>177</v>
      </c>
      <c r="B173" s="34" t="s">
        <v>169</v>
      </c>
      <c r="C173" s="34" t="s">
        <v>1111</v>
      </c>
      <c r="D173" s="41" t="s">
        <v>1646</v>
      </c>
      <c r="E173" s="12" t="s">
        <v>170</v>
      </c>
      <c r="F173" s="12" t="s">
        <v>243</v>
      </c>
      <c r="G173" s="12"/>
      <c r="H173" s="14">
        <v>190</v>
      </c>
      <c r="I173" s="15" t="s">
        <v>258</v>
      </c>
      <c r="J173" s="89">
        <f>IF(H173&gt;0,(H173*VLOOKUP(Lookups!$K$11,Lookups!$M$10:$P$43,4,0)/VLOOKUP(I173,Lookups!$M$10:$P$43,4,0)),"")</f>
        <v>219.80763331779099</v>
      </c>
      <c r="K173" s="14"/>
      <c r="L173" s="15"/>
      <c r="M173" s="89" t="str">
        <f>IF(K173&gt;0,(K173*VLOOKUP(Lookups!$K$11,Lookups!$M$10:$P$43,4,0)/VLOOKUP(L173,Lookups!$M$10:$P$43,4,0)),"")</f>
        <v/>
      </c>
      <c r="N173" s="14"/>
      <c r="O173" s="15"/>
      <c r="P173" s="89" t="str">
        <f>IF(N173&gt;0,(N173*VLOOKUP(Lookups!$K$11,Lookups!$M$10:$P$43,4,0)/VLOOKUP(O173,Lookups!$M$10:$P$43,4,0)),"")</f>
        <v/>
      </c>
      <c r="Q173" s="160" t="s">
        <v>1580</v>
      </c>
      <c r="R173" s="15" t="s">
        <v>152</v>
      </c>
      <c r="S173" s="118"/>
      <c r="T173" s="134"/>
      <c r="U173" s="4"/>
      <c r="V173"/>
      <c r="W173"/>
    </row>
    <row r="174" spans="1:23" s="36" customFormat="1" ht="60" hidden="1" customHeight="1" outlineLevel="2" x14ac:dyDescent="0.25">
      <c r="A174" s="34" t="s">
        <v>177</v>
      </c>
      <c r="B174" s="34" t="s">
        <v>169</v>
      </c>
      <c r="C174" s="34" t="s">
        <v>1713</v>
      </c>
      <c r="D174" s="41" t="s">
        <v>1647</v>
      </c>
      <c r="E174" s="12" t="s">
        <v>170</v>
      </c>
      <c r="F174" s="12" t="s">
        <v>162</v>
      </c>
      <c r="G174" s="12"/>
      <c r="H174" s="14">
        <v>160</v>
      </c>
      <c r="I174" s="15" t="s">
        <v>258</v>
      </c>
      <c r="J174" s="89">
        <f>IF(H174&gt;0,(H174*VLOOKUP(Lookups!$K$11,Lookups!$M$10:$P$43,4,0)/VLOOKUP(I174,Lookups!$M$10:$P$43,4,0)),"")</f>
        <v>185.10116489919244</v>
      </c>
      <c r="K174" s="14"/>
      <c r="L174" s="15"/>
      <c r="M174" s="89" t="str">
        <f>IF(K174&gt;0,(K174*VLOOKUP(Lookups!$K$11,Lookups!$M$10:$P$43,4,0)/VLOOKUP(L174,Lookups!$M$10:$P$43,4,0)),"")</f>
        <v/>
      </c>
      <c r="N174" s="14"/>
      <c r="O174" s="15"/>
      <c r="P174" s="89" t="str">
        <f>IF(N174&gt;0,(N174*VLOOKUP(Lookups!$K$11,Lookups!$M$10:$P$43,4,0)/VLOOKUP(O174,Lookups!$M$10:$P$43,4,0)),"")</f>
        <v/>
      </c>
      <c r="Q174" s="160" t="s">
        <v>1580</v>
      </c>
      <c r="R174" s="15" t="s">
        <v>152</v>
      </c>
      <c r="S174" s="118"/>
      <c r="T174" s="134"/>
      <c r="U174" s="4"/>
      <c r="V174"/>
      <c r="W174"/>
    </row>
    <row r="175" spans="1:23" s="36" customFormat="1" ht="60" hidden="1" customHeight="1" outlineLevel="1" collapsed="1" x14ac:dyDescent="0.25">
      <c r="A175" s="42" t="s">
        <v>177</v>
      </c>
      <c r="B175" s="42" t="s">
        <v>169</v>
      </c>
      <c r="C175" s="42" t="s">
        <v>1112</v>
      </c>
      <c r="D175" s="42" t="s">
        <v>1648</v>
      </c>
      <c r="E175" s="12" t="s">
        <v>170</v>
      </c>
      <c r="F175" s="12" t="s">
        <v>147</v>
      </c>
      <c r="G175" s="12"/>
      <c r="H175" s="14">
        <v>240</v>
      </c>
      <c r="I175" s="15" t="s">
        <v>258</v>
      </c>
      <c r="J175" s="89">
        <f>IF(H175&gt;0,(H175*VLOOKUP(Lookups!$K$11,Lookups!$M$10:$P$43,4,0)/VLOOKUP(I175,Lookups!$M$10:$P$43,4,0)),"")</f>
        <v>277.65174734878866</v>
      </c>
      <c r="K175" s="14">
        <v>720</v>
      </c>
      <c r="L175" s="15" t="s">
        <v>258</v>
      </c>
      <c r="M175" s="89">
        <f>IF(K175&gt;0,(K175*VLOOKUP(Lookups!$K$11,Lookups!$M$10:$P$43,4,0)/VLOOKUP(L175,Lookups!$M$10:$P$43,4,0)),"")</f>
        <v>832.95524204636604</v>
      </c>
      <c r="N175" s="14"/>
      <c r="O175" s="15"/>
      <c r="P175" s="89" t="str">
        <f>IF(N175&gt;0,(N175*VLOOKUP(Lookups!$K$11,Lookups!$M$10:$P$43,4,0)/VLOOKUP(O175,Lookups!$M$10:$P$43,4,0)),"")</f>
        <v/>
      </c>
      <c r="Q175" s="160" t="s">
        <v>1580</v>
      </c>
      <c r="R175" s="15" t="s">
        <v>152</v>
      </c>
      <c r="S175" s="4" t="s">
        <v>1687</v>
      </c>
      <c r="T175" s="134"/>
      <c r="U175" s="4"/>
      <c r="V175"/>
      <c r="W175"/>
    </row>
    <row r="176" spans="1:23" s="36" customFormat="1" ht="60" hidden="1" customHeight="1" outlineLevel="2" x14ac:dyDescent="0.25">
      <c r="A176" s="34" t="s">
        <v>177</v>
      </c>
      <c r="B176" s="34" t="s">
        <v>169</v>
      </c>
      <c r="C176" s="34" t="s">
        <v>1113</v>
      </c>
      <c r="D176" s="41" t="s">
        <v>1649</v>
      </c>
      <c r="E176" s="12" t="s">
        <v>170</v>
      </c>
      <c r="F176" s="12" t="s">
        <v>632</v>
      </c>
      <c r="G176" s="12"/>
      <c r="H176" s="14">
        <v>40</v>
      </c>
      <c r="I176" s="15" t="s">
        <v>258</v>
      </c>
      <c r="J176" s="89">
        <f>IF(H176&gt;0,(H176*VLOOKUP(Lookups!$K$11,Lookups!$M$10:$P$43,4,0)/VLOOKUP(I176,Lookups!$M$10:$P$43,4,0)),"")</f>
        <v>46.27529122479811</v>
      </c>
      <c r="K176" s="14"/>
      <c r="L176" s="15"/>
      <c r="M176" s="89" t="str">
        <f>IF(K176&gt;0,(K176*VLOOKUP(Lookups!$K$11,Lookups!$M$10:$P$43,4,0)/VLOOKUP(L176,Lookups!$M$10:$P$43,4,0)),"")</f>
        <v/>
      </c>
      <c r="N176" s="14"/>
      <c r="O176" s="15"/>
      <c r="P176" s="89" t="str">
        <f>IF(N176&gt;0,(N176*VLOOKUP(Lookups!$K$11,Lookups!$M$10:$P$43,4,0)/VLOOKUP(O176,Lookups!$M$10:$P$43,4,0)),"")</f>
        <v/>
      </c>
      <c r="Q176" s="160" t="s">
        <v>1580</v>
      </c>
      <c r="R176" s="15" t="s">
        <v>152</v>
      </c>
      <c r="S176" s="118"/>
      <c r="T176" s="134"/>
      <c r="U176" s="4"/>
      <c r="V176"/>
      <c r="W176"/>
    </row>
    <row r="177" spans="1:23" s="36" customFormat="1" ht="60" hidden="1" customHeight="1" outlineLevel="2" x14ac:dyDescent="0.25">
      <c r="A177" s="34" t="s">
        <v>177</v>
      </c>
      <c r="B177" s="34" t="s">
        <v>169</v>
      </c>
      <c r="C177" s="34" t="s">
        <v>1114</v>
      </c>
      <c r="D177" s="41" t="s">
        <v>1650</v>
      </c>
      <c r="E177" s="12" t="s">
        <v>170</v>
      </c>
      <c r="F177" s="12" t="s">
        <v>199</v>
      </c>
      <c r="G177" s="12"/>
      <c r="H177" s="14">
        <v>40</v>
      </c>
      <c r="I177" s="15" t="s">
        <v>258</v>
      </c>
      <c r="J177" s="89">
        <f>IF(H177&gt;0,(H177*VLOOKUP(Lookups!$K$11,Lookups!$M$10:$P$43,4,0)/VLOOKUP(I177,Lookups!$M$10:$P$43,4,0)),"")</f>
        <v>46.27529122479811</v>
      </c>
      <c r="K177" s="14"/>
      <c r="L177" s="15"/>
      <c r="M177" s="89" t="str">
        <f>IF(K177&gt;0,(K177*VLOOKUP(Lookups!$K$11,Lookups!$M$10:$P$43,4,0)/VLOOKUP(L177,Lookups!$M$10:$P$43,4,0)),"")</f>
        <v/>
      </c>
      <c r="N177" s="14"/>
      <c r="O177" s="15"/>
      <c r="P177" s="89" t="str">
        <f>IF(N177&gt;0,(N177*VLOOKUP(Lookups!$K$11,Lookups!$M$10:$P$43,4,0)/VLOOKUP(O177,Lookups!$M$10:$P$43,4,0)),"")</f>
        <v/>
      </c>
      <c r="Q177" s="160" t="s">
        <v>1580</v>
      </c>
      <c r="R177" s="15" t="s">
        <v>152</v>
      </c>
      <c r="S177" s="118"/>
      <c r="T177" s="134"/>
      <c r="U177" s="4"/>
      <c r="V177"/>
      <c r="W177"/>
    </row>
    <row r="178" spans="1:23" s="36" customFormat="1" ht="60" hidden="1" customHeight="1" outlineLevel="2" x14ac:dyDescent="0.25">
      <c r="A178" s="34" t="s">
        <v>177</v>
      </c>
      <c r="B178" s="34" t="s">
        <v>169</v>
      </c>
      <c r="C178" s="34" t="s">
        <v>1115</v>
      </c>
      <c r="D178" s="41" t="s">
        <v>1651</v>
      </c>
      <c r="E178" s="12" t="s">
        <v>170</v>
      </c>
      <c r="F178" s="12" t="s">
        <v>265</v>
      </c>
      <c r="G178" s="12" t="s">
        <v>696</v>
      </c>
      <c r="H178" s="14">
        <v>140</v>
      </c>
      <c r="I178" s="15" t="s">
        <v>258</v>
      </c>
      <c r="J178" s="89">
        <f>IF(H178&gt;0,(H178*VLOOKUP(Lookups!$K$11,Lookups!$M$10:$P$43,4,0)/VLOOKUP(I178,Lookups!$M$10:$P$43,4,0)),"")</f>
        <v>161.9635192867934</v>
      </c>
      <c r="K178" s="14"/>
      <c r="L178" s="15"/>
      <c r="M178" s="89" t="str">
        <f>IF(K178&gt;0,(K178*VLOOKUP(Lookups!$K$11,Lookups!$M$10:$P$43,4,0)/VLOOKUP(L178,Lookups!$M$10:$P$43,4,0)),"")</f>
        <v/>
      </c>
      <c r="N178" s="14"/>
      <c r="O178" s="15"/>
      <c r="P178" s="89" t="str">
        <f>IF(N178&gt;0,(N178*VLOOKUP(Lookups!$K$11,Lookups!$M$10:$P$43,4,0)/VLOOKUP(O178,Lookups!$M$10:$P$43,4,0)),"")</f>
        <v/>
      </c>
      <c r="Q178" s="160" t="s">
        <v>1580</v>
      </c>
      <c r="R178" s="15" t="s">
        <v>152</v>
      </c>
      <c r="S178" s="118"/>
      <c r="T178" s="134"/>
      <c r="U178" s="4"/>
      <c r="V178"/>
      <c r="W178"/>
    </row>
    <row r="179" spans="1:23" s="36" customFormat="1" ht="60" hidden="1" customHeight="1" outlineLevel="2" x14ac:dyDescent="0.25">
      <c r="A179" s="34" t="s">
        <v>177</v>
      </c>
      <c r="B179" s="34" t="s">
        <v>169</v>
      </c>
      <c r="C179" s="34" t="s">
        <v>1116</v>
      </c>
      <c r="D179" s="41" t="s">
        <v>1652</v>
      </c>
      <c r="E179" s="12" t="s">
        <v>170</v>
      </c>
      <c r="F179" s="12" t="s">
        <v>205</v>
      </c>
      <c r="G179" s="12"/>
      <c r="H179" s="14">
        <v>10</v>
      </c>
      <c r="I179" s="15" t="s">
        <v>258</v>
      </c>
      <c r="J179" s="89">
        <f>IF(H179&gt;0,(H179*VLOOKUP(Lookups!$K$11,Lookups!$M$10:$P$43,4,0)/VLOOKUP(I179,Lookups!$M$10:$P$43,4,0)),"")</f>
        <v>11.568822806199528</v>
      </c>
      <c r="K179" s="14"/>
      <c r="L179" s="15"/>
      <c r="M179" s="89" t="str">
        <f>IF(K179&gt;0,(K179*VLOOKUP(Lookups!$K$11,Lookups!$M$10:$P$43,4,0)/VLOOKUP(L179,Lookups!$M$10:$P$43,4,0)),"")</f>
        <v/>
      </c>
      <c r="N179" s="14"/>
      <c r="O179" s="15"/>
      <c r="P179" s="89" t="str">
        <f>IF(N179&gt;0,(N179*VLOOKUP(Lookups!$K$11,Lookups!$M$10:$P$43,4,0)/VLOOKUP(O179,Lookups!$M$10:$P$43,4,0)),"")</f>
        <v/>
      </c>
      <c r="Q179" s="160" t="s">
        <v>1580</v>
      </c>
      <c r="R179" s="15" t="s">
        <v>152</v>
      </c>
      <c r="S179" s="118"/>
      <c r="T179" s="134"/>
      <c r="U179" s="4"/>
      <c r="V179"/>
      <c r="W179"/>
    </row>
    <row r="180" spans="1:23" s="36" customFormat="1" ht="60" hidden="1" customHeight="1" outlineLevel="2" x14ac:dyDescent="0.25">
      <c r="A180" s="34" t="s">
        <v>177</v>
      </c>
      <c r="B180" s="34" t="s">
        <v>169</v>
      </c>
      <c r="C180" s="34" t="s">
        <v>1117</v>
      </c>
      <c r="D180" s="41" t="s">
        <v>1653</v>
      </c>
      <c r="E180" s="12" t="s">
        <v>170</v>
      </c>
      <c r="F180" s="12" t="s">
        <v>243</v>
      </c>
      <c r="G180" s="12"/>
      <c r="H180" s="14">
        <v>20</v>
      </c>
      <c r="I180" s="15" t="s">
        <v>258</v>
      </c>
      <c r="J180" s="89">
        <f>IF(H180&gt;0,(H180*VLOOKUP(Lookups!$K$11,Lookups!$M$10:$P$43,4,0)/VLOOKUP(I180,Lookups!$M$10:$P$43,4,0)),"")</f>
        <v>23.137645612399055</v>
      </c>
      <c r="K180" s="14"/>
      <c r="L180" s="15"/>
      <c r="M180" s="89" t="str">
        <f>IF(K180&gt;0,(K180*VLOOKUP(Lookups!$K$11,Lookups!$M$10:$P$43,4,0)/VLOOKUP(L180,Lookups!$M$10:$P$43,4,0)),"")</f>
        <v/>
      </c>
      <c r="N180" s="14"/>
      <c r="O180" s="15"/>
      <c r="P180" s="89" t="str">
        <f>IF(N180&gt;0,(N180*VLOOKUP(Lookups!$K$11,Lookups!$M$10:$P$43,4,0)/VLOOKUP(O180,Lookups!$M$10:$P$43,4,0)),"")</f>
        <v/>
      </c>
      <c r="Q180" s="160" t="s">
        <v>1580</v>
      </c>
      <c r="R180" s="15" t="s">
        <v>152</v>
      </c>
      <c r="S180" s="118"/>
      <c r="T180" s="134"/>
      <c r="U180" s="4"/>
      <c r="V180"/>
      <c r="W180"/>
    </row>
    <row r="181" spans="1:23" s="36" customFormat="1" ht="60" hidden="1" customHeight="1" outlineLevel="1" collapsed="1" x14ac:dyDescent="0.25">
      <c r="A181" s="42" t="s">
        <v>177</v>
      </c>
      <c r="B181" s="42" t="s">
        <v>169</v>
      </c>
      <c r="C181" s="42" t="s">
        <v>1118</v>
      </c>
      <c r="D181" s="42" t="s">
        <v>1660</v>
      </c>
      <c r="E181" s="12" t="s">
        <v>170</v>
      </c>
      <c r="F181" s="12" t="s">
        <v>147</v>
      </c>
      <c r="G181" s="12"/>
      <c r="H181" s="14">
        <v>3910</v>
      </c>
      <c r="I181" s="15" t="s">
        <v>258</v>
      </c>
      <c r="J181" s="89">
        <f>IF(H181&gt;0,(H181*VLOOKUP(Lookups!$K$11,Lookups!$M$10:$P$43,4,0)/VLOOKUP(I181,Lookups!$M$10:$P$43,4,0)),"")</f>
        <v>4523.4097172240154</v>
      </c>
      <c r="K181" s="14">
        <v>30910</v>
      </c>
      <c r="L181" s="15" t="s">
        <v>258</v>
      </c>
      <c r="M181" s="89">
        <f>IF(K181&gt;0,(K181*VLOOKUP(Lookups!$K$11,Lookups!$M$10:$P$43,4,0)/VLOOKUP(L181,Lookups!$M$10:$P$43,4,0)),"")</f>
        <v>35759.231293962737</v>
      </c>
      <c r="N181" s="14">
        <v>360</v>
      </c>
      <c r="O181" s="15" t="s">
        <v>258</v>
      </c>
      <c r="P181" s="89">
        <f>IF(N181&gt;0,(N181*VLOOKUP(Lookups!$K$11,Lookups!$M$10:$P$43,4,0)/VLOOKUP(O181,Lookups!$M$10:$P$43,4,0)),"")</f>
        <v>416.47762102318302</v>
      </c>
      <c r="Q181" s="160" t="s">
        <v>1580</v>
      </c>
      <c r="R181" s="15" t="s">
        <v>152</v>
      </c>
      <c r="S181" s="4" t="s">
        <v>1688</v>
      </c>
      <c r="T181" s="134"/>
      <c r="U181" s="4"/>
      <c r="V181"/>
      <c r="W181"/>
    </row>
    <row r="182" spans="1:23" s="36" customFormat="1" ht="60" hidden="1" customHeight="1" outlineLevel="2" x14ac:dyDescent="0.25">
      <c r="A182" s="34" t="s">
        <v>177</v>
      </c>
      <c r="B182" s="34" t="s">
        <v>169</v>
      </c>
      <c r="C182" s="34" t="s">
        <v>1119</v>
      </c>
      <c r="D182" s="41" t="s">
        <v>1654</v>
      </c>
      <c r="E182" s="12" t="s">
        <v>170</v>
      </c>
      <c r="F182" s="12" t="s">
        <v>632</v>
      </c>
      <c r="G182" s="12"/>
      <c r="H182" s="14">
        <v>2030</v>
      </c>
      <c r="I182" s="15" t="s">
        <v>258</v>
      </c>
      <c r="J182" s="89">
        <f>IF(H182&gt;0,(H182*VLOOKUP(Lookups!$K$11,Lookups!$M$10:$P$43,4,0)/VLOOKUP(I182,Lookups!$M$10:$P$43,4,0)),"")</f>
        <v>2348.471029658504</v>
      </c>
      <c r="K182" s="14"/>
      <c r="L182" s="15"/>
      <c r="M182" s="89" t="str">
        <f>IF(K182&gt;0,(K182*VLOOKUP(Lookups!$K$11,Lookups!$M$10:$P$43,4,0)/VLOOKUP(L182,Lookups!$M$10:$P$43,4,0)),"")</f>
        <v/>
      </c>
      <c r="N182" s="14"/>
      <c r="O182" s="15"/>
      <c r="P182" s="89" t="str">
        <f>IF(N182&gt;0,(N182*VLOOKUP(Lookups!$K$11,Lookups!$M$10:$P$43,4,0)/VLOOKUP(O182,Lookups!$M$10:$P$43,4,0)),"")</f>
        <v/>
      </c>
      <c r="Q182" s="160" t="s">
        <v>1580</v>
      </c>
      <c r="R182" s="15" t="s">
        <v>152</v>
      </c>
      <c r="S182" s="118"/>
      <c r="T182" s="134"/>
      <c r="U182" s="4"/>
      <c r="V182"/>
      <c r="W182"/>
    </row>
    <row r="183" spans="1:23" s="36" customFormat="1" ht="60" hidden="1" customHeight="1" outlineLevel="2" x14ac:dyDescent="0.25">
      <c r="A183" s="34" t="s">
        <v>177</v>
      </c>
      <c r="B183" s="34" t="s">
        <v>169</v>
      </c>
      <c r="C183" s="34" t="s">
        <v>1120</v>
      </c>
      <c r="D183" s="41" t="s">
        <v>1655</v>
      </c>
      <c r="E183" s="12" t="s">
        <v>170</v>
      </c>
      <c r="F183" s="12" t="s">
        <v>199</v>
      </c>
      <c r="G183" s="12"/>
      <c r="H183" s="14">
        <v>300</v>
      </c>
      <c r="I183" s="15" t="s">
        <v>258</v>
      </c>
      <c r="J183" s="89">
        <f>IF(H183&gt;0,(H183*VLOOKUP(Lookups!$K$11,Lookups!$M$10:$P$43,4,0)/VLOOKUP(I183,Lookups!$M$10:$P$43,4,0)),"")</f>
        <v>347.06468418598581</v>
      </c>
      <c r="K183" s="14"/>
      <c r="L183" s="15"/>
      <c r="M183" s="89" t="str">
        <f>IF(K183&gt;0,(K183*VLOOKUP(Lookups!$K$11,Lookups!$M$10:$P$43,4,0)/VLOOKUP(L183,Lookups!$M$10:$P$43,4,0)),"")</f>
        <v/>
      </c>
      <c r="N183" s="14"/>
      <c r="O183" s="15"/>
      <c r="P183" s="89" t="str">
        <f>IF(N183&gt;0,(N183*VLOOKUP(Lookups!$K$11,Lookups!$M$10:$P$43,4,0)/VLOOKUP(O183,Lookups!$M$10:$P$43,4,0)),"")</f>
        <v/>
      </c>
      <c r="Q183" s="160" t="s">
        <v>1580</v>
      </c>
      <c r="R183" s="15" t="s">
        <v>152</v>
      </c>
      <c r="S183" s="118"/>
      <c r="T183" s="134"/>
      <c r="U183" s="4"/>
      <c r="V183"/>
      <c r="W183"/>
    </row>
    <row r="184" spans="1:23" s="36" customFormat="1" ht="60" hidden="1" customHeight="1" outlineLevel="2" x14ac:dyDescent="0.25">
      <c r="A184" s="34" t="s">
        <v>177</v>
      </c>
      <c r="B184" s="34" t="s">
        <v>169</v>
      </c>
      <c r="C184" s="34" t="s">
        <v>1121</v>
      </c>
      <c r="D184" s="41" t="s">
        <v>1656</v>
      </c>
      <c r="E184" s="12" t="s">
        <v>170</v>
      </c>
      <c r="F184" s="12" t="s">
        <v>265</v>
      </c>
      <c r="G184" s="12" t="s">
        <v>696</v>
      </c>
      <c r="H184" s="14">
        <f>20+1070+60+30+40+70</f>
        <v>1290</v>
      </c>
      <c r="I184" s="15" t="s">
        <v>258</v>
      </c>
      <c r="J184" s="89">
        <f>IF(H184&gt;0,(H184*VLOOKUP(Lookups!$K$11,Lookups!$M$10:$P$43,4,0)/VLOOKUP(I184,Lookups!$M$10:$P$43,4,0)),"")</f>
        <v>1492.378141999739</v>
      </c>
      <c r="K184" s="14"/>
      <c r="L184" s="15"/>
      <c r="M184" s="89" t="str">
        <f>IF(K184&gt;0,(K184*VLOOKUP(Lookups!$K$11,Lookups!$M$10:$P$43,4,0)/VLOOKUP(L184,Lookups!$M$10:$P$43,4,0)),"")</f>
        <v/>
      </c>
      <c r="N184" s="14"/>
      <c r="O184" s="15"/>
      <c r="P184" s="89" t="str">
        <f>IF(N184&gt;0,(N184*VLOOKUP(Lookups!$K$11,Lookups!$M$10:$P$43,4,0)/VLOOKUP(O184,Lookups!$M$10:$P$43,4,0)),"")</f>
        <v/>
      </c>
      <c r="Q184" s="160" t="s">
        <v>1580</v>
      </c>
      <c r="R184" s="15" t="s">
        <v>152</v>
      </c>
      <c r="S184" s="118"/>
      <c r="T184" s="134"/>
      <c r="U184" s="4"/>
      <c r="V184"/>
      <c r="W184"/>
    </row>
    <row r="185" spans="1:23" s="36" customFormat="1" ht="60" hidden="1" customHeight="1" outlineLevel="2" x14ac:dyDescent="0.25">
      <c r="A185" s="34" t="s">
        <v>177</v>
      </c>
      <c r="B185" s="34" t="s">
        <v>169</v>
      </c>
      <c r="C185" s="34" t="s">
        <v>1122</v>
      </c>
      <c r="D185" s="41" t="s">
        <v>1657</v>
      </c>
      <c r="E185" s="12" t="s">
        <v>170</v>
      </c>
      <c r="F185" s="12" t="s">
        <v>205</v>
      </c>
      <c r="G185" s="12"/>
      <c r="H185" s="14">
        <v>120</v>
      </c>
      <c r="I185" s="15" t="s">
        <v>258</v>
      </c>
      <c r="J185" s="89">
        <f>IF(H185&gt;0,(H185*VLOOKUP(Lookups!$K$11,Lookups!$M$10:$P$43,4,0)/VLOOKUP(I185,Lookups!$M$10:$P$43,4,0)),"")</f>
        <v>138.82587367439433</v>
      </c>
      <c r="K185" s="14"/>
      <c r="L185" s="15"/>
      <c r="M185" s="89" t="str">
        <f>IF(K185&gt;0,(K185*VLOOKUP(Lookups!$K$11,Lookups!$M$10:$P$43,4,0)/VLOOKUP(L185,Lookups!$M$10:$P$43,4,0)),"")</f>
        <v/>
      </c>
      <c r="N185" s="14"/>
      <c r="O185" s="15"/>
      <c r="P185" s="89" t="str">
        <f>IF(N185&gt;0,(N185*VLOOKUP(Lookups!$K$11,Lookups!$M$10:$P$43,4,0)/VLOOKUP(O185,Lookups!$M$10:$P$43,4,0)),"")</f>
        <v/>
      </c>
      <c r="Q185" s="160" t="s">
        <v>1580</v>
      </c>
      <c r="R185" s="15" t="s">
        <v>152</v>
      </c>
      <c r="S185" s="118"/>
      <c r="T185" s="134"/>
      <c r="U185" s="4"/>
      <c r="V185"/>
      <c r="W185"/>
    </row>
    <row r="186" spans="1:23" s="36" customFormat="1" ht="60" hidden="1" customHeight="1" outlineLevel="2" x14ac:dyDescent="0.25">
      <c r="A186" s="34" t="s">
        <v>177</v>
      </c>
      <c r="B186" s="34" t="s">
        <v>169</v>
      </c>
      <c r="C186" s="34" t="s">
        <v>1123</v>
      </c>
      <c r="D186" s="41" t="s">
        <v>1658</v>
      </c>
      <c r="E186" s="12" t="s">
        <v>170</v>
      </c>
      <c r="F186" s="12" t="s">
        <v>243</v>
      </c>
      <c r="G186" s="12"/>
      <c r="H186" s="14">
        <v>140</v>
      </c>
      <c r="I186" s="15" t="s">
        <v>258</v>
      </c>
      <c r="J186" s="89">
        <f>IF(H186&gt;0,(H186*VLOOKUP(Lookups!$K$11,Lookups!$M$10:$P$43,4,0)/VLOOKUP(I186,Lookups!$M$10:$P$43,4,0)),"")</f>
        <v>161.9635192867934</v>
      </c>
      <c r="K186" s="14"/>
      <c r="L186" s="15"/>
      <c r="M186" s="89" t="str">
        <f>IF(K186&gt;0,(K186*VLOOKUP(Lookups!$K$11,Lookups!$M$10:$P$43,4,0)/VLOOKUP(L186,Lookups!$M$10:$P$43,4,0)),"")</f>
        <v/>
      </c>
      <c r="N186" s="14"/>
      <c r="O186" s="15"/>
      <c r="P186" s="89" t="str">
        <f>IF(N186&gt;0,(N186*VLOOKUP(Lookups!$K$11,Lookups!$M$10:$P$43,4,0)/VLOOKUP(O186,Lookups!$M$10:$P$43,4,0)),"")</f>
        <v/>
      </c>
      <c r="Q186" s="160" t="s">
        <v>1580</v>
      </c>
      <c r="R186" s="15" t="s">
        <v>152</v>
      </c>
      <c r="S186" s="118"/>
      <c r="T186" s="134"/>
      <c r="U186" s="4"/>
      <c r="V186"/>
      <c r="W186"/>
    </row>
    <row r="187" spans="1:23" s="36" customFormat="1" ht="60" hidden="1" customHeight="1" outlineLevel="2" x14ac:dyDescent="0.25">
      <c r="A187" s="34" t="s">
        <v>177</v>
      </c>
      <c r="B187" s="34" t="s">
        <v>169</v>
      </c>
      <c r="C187" s="34" t="s">
        <v>1714</v>
      </c>
      <c r="D187" s="41" t="s">
        <v>1659</v>
      </c>
      <c r="E187" s="12" t="s">
        <v>170</v>
      </c>
      <c r="F187" s="12" t="s">
        <v>162</v>
      </c>
      <c r="G187" s="12"/>
      <c r="H187" s="14">
        <v>10</v>
      </c>
      <c r="I187" s="15" t="s">
        <v>258</v>
      </c>
      <c r="J187" s="89">
        <f>IF(H187&gt;0,(H187*VLOOKUP(Lookups!$K$11,Lookups!$M$10:$P$43,4,0)/VLOOKUP(I187,Lookups!$M$10:$P$43,4,0)),"")</f>
        <v>11.568822806199528</v>
      </c>
      <c r="K187" s="14"/>
      <c r="L187" s="15"/>
      <c r="M187" s="89" t="str">
        <f>IF(K187&gt;0,(K187*VLOOKUP(Lookups!$K$11,Lookups!$M$10:$P$43,4,0)/VLOOKUP(L187,Lookups!$M$10:$P$43,4,0)),"")</f>
        <v/>
      </c>
      <c r="N187" s="14"/>
      <c r="O187" s="15"/>
      <c r="P187" s="89" t="str">
        <f>IF(N187&gt;0,(N187*VLOOKUP(Lookups!$K$11,Lookups!$M$10:$P$43,4,0)/VLOOKUP(O187,Lookups!$M$10:$P$43,4,0)),"")</f>
        <v/>
      </c>
      <c r="Q187" s="160" t="s">
        <v>1580</v>
      </c>
      <c r="R187" s="15" t="s">
        <v>152</v>
      </c>
      <c r="S187" s="118"/>
      <c r="T187" s="134"/>
      <c r="U187" s="4"/>
      <c r="V187"/>
      <c r="W187"/>
    </row>
    <row r="188" spans="1:23" s="36" customFormat="1" ht="60" hidden="1" customHeight="1" outlineLevel="1" collapsed="1" x14ac:dyDescent="0.25">
      <c r="A188" s="42" t="s">
        <v>177</v>
      </c>
      <c r="B188" s="42" t="s">
        <v>169</v>
      </c>
      <c r="C188" s="42" t="s">
        <v>1124</v>
      </c>
      <c r="D188" s="42" t="s">
        <v>1661</v>
      </c>
      <c r="E188" s="12" t="s">
        <v>170</v>
      </c>
      <c r="F188" s="12" t="s">
        <v>147</v>
      </c>
      <c r="G188" s="12"/>
      <c r="H188" s="14">
        <v>180</v>
      </c>
      <c r="I188" s="15" t="s">
        <v>258</v>
      </c>
      <c r="J188" s="89">
        <f>IF(H188&gt;0,(H188*VLOOKUP(Lookups!$K$11,Lookups!$M$10:$P$43,4,0)/VLOOKUP(I188,Lookups!$M$10:$P$43,4,0)),"")</f>
        <v>208.23881051159151</v>
      </c>
      <c r="K188" s="14">
        <v>1600</v>
      </c>
      <c r="L188" s="15" t="s">
        <v>258</v>
      </c>
      <c r="M188" s="89">
        <f>IF(K188&gt;0,(K188*VLOOKUP(Lookups!$K$11,Lookups!$M$10:$P$43,4,0)/VLOOKUP(L188,Lookups!$M$10:$P$43,4,0)),"")</f>
        <v>1851.0116489919242</v>
      </c>
      <c r="N188" s="14">
        <v>100</v>
      </c>
      <c r="O188" s="15" t="s">
        <v>258</v>
      </c>
      <c r="P188" s="89">
        <f>IF(N188&gt;0,(N188*VLOOKUP(Lookups!$K$11,Lookups!$M$10:$P$43,4,0)/VLOOKUP(O188,Lookups!$M$10:$P$43,4,0)),"")</f>
        <v>115.68822806199526</v>
      </c>
      <c r="Q188" s="160" t="s">
        <v>1580</v>
      </c>
      <c r="R188" s="15" t="s">
        <v>152</v>
      </c>
      <c r="S188" s="4" t="s">
        <v>1689</v>
      </c>
      <c r="T188" s="134"/>
      <c r="U188" s="4"/>
      <c r="V188"/>
      <c r="W188"/>
    </row>
    <row r="189" spans="1:23" s="36" customFormat="1" ht="60" hidden="1" customHeight="1" outlineLevel="2" x14ac:dyDescent="0.25">
      <c r="A189" s="34" t="s">
        <v>177</v>
      </c>
      <c r="B189" s="34" t="s">
        <v>169</v>
      </c>
      <c r="C189" s="34" t="s">
        <v>1125</v>
      </c>
      <c r="D189" s="41" t="s">
        <v>1662</v>
      </c>
      <c r="E189" s="12" t="s">
        <v>170</v>
      </c>
      <c r="F189" s="12" t="s">
        <v>632</v>
      </c>
      <c r="G189" s="12"/>
      <c r="H189" s="14">
        <v>80</v>
      </c>
      <c r="I189" s="15" t="s">
        <v>258</v>
      </c>
      <c r="J189" s="89">
        <f>IF(H189&gt;0,(H189*VLOOKUP(Lookups!$K$11,Lookups!$M$10:$P$43,4,0)/VLOOKUP(I189,Lookups!$M$10:$P$43,4,0)),"")</f>
        <v>92.55058244959622</v>
      </c>
      <c r="K189" s="14"/>
      <c r="L189" s="15"/>
      <c r="M189" s="89" t="str">
        <f>IF(K189&gt;0,(K189*VLOOKUP(Lookups!$K$11,Lookups!$M$10:$P$43,4,0)/VLOOKUP(L189,Lookups!$M$10:$P$43,4,0)),"")</f>
        <v/>
      </c>
      <c r="N189" s="14"/>
      <c r="O189" s="15"/>
      <c r="P189" s="89" t="str">
        <f>IF(N189&gt;0,(N189*VLOOKUP(Lookups!$K$11,Lookups!$M$10:$P$43,4,0)/VLOOKUP(O189,Lookups!$M$10:$P$43,4,0)),"")</f>
        <v/>
      </c>
      <c r="Q189" s="160" t="s">
        <v>1580</v>
      </c>
      <c r="R189" s="15" t="s">
        <v>152</v>
      </c>
      <c r="S189" s="118"/>
      <c r="T189" s="134"/>
      <c r="U189" s="4"/>
      <c r="V189"/>
      <c r="W189"/>
    </row>
    <row r="190" spans="1:23" s="36" customFormat="1" ht="60" hidden="1" customHeight="1" outlineLevel="2" x14ac:dyDescent="0.25">
      <c r="A190" s="34" t="s">
        <v>177</v>
      </c>
      <c r="B190" s="34" t="s">
        <v>169</v>
      </c>
      <c r="C190" s="34" t="s">
        <v>1126</v>
      </c>
      <c r="D190" s="41" t="s">
        <v>1663</v>
      </c>
      <c r="E190" s="12" t="s">
        <v>170</v>
      </c>
      <c r="F190" s="12" t="s">
        <v>199</v>
      </c>
      <c r="G190" s="12"/>
      <c r="H190" s="14">
        <v>20</v>
      </c>
      <c r="I190" s="15" t="s">
        <v>258</v>
      </c>
      <c r="J190" s="89">
        <f>IF(H190&gt;0,(H190*VLOOKUP(Lookups!$K$11,Lookups!$M$10:$P$43,4,0)/VLOOKUP(I190,Lookups!$M$10:$P$43,4,0)),"")</f>
        <v>23.137645612399055</v>
      </c>
      <c r="K190" s="14"/>
      <c r="L190" s="15"/>
      <c r="M190" s="89" t="str">
        <f>IF(K190&gt;0,(K190*VLOOKUP(Lookups!$K$11,Lookups!$M$10:$P$43,4,0)/VLOOKUP(L190,Lookups!$M$10:$P$43,4,0)),"")</f>
        <v/>
      </c>
      <c r="N190" s="14"/>
      <c r="O190" s="15"/>
      <c r="P190" s="89" t="str">
        <f>IF(N190&gt;0,(N190*VLOOKUP(Lookups!$K$11,Lookups!$M$10:$P$43,4,0)/VLOOKUP(O190,Lookups!$M$10:$P$43,4,0)),"")</f>
        <v/>
      </c>
      <c r="Q190" s="160" t="s">
        <v>1580</v>
      </c>
      <c r="R190" s="15" t="s">
        <v>152</v>
      </c>
      <c r="S190" s="118"/>
      <c r="T190" s="134"/>
      <c r="U190" s="4"/>
      <c r="V190"/>
      <c r="W190"/>
    </row>
    <row r="191" spans="1:23" s="36" customFormat="1" ht="60" hidden="1" customHeight="1" outlineLevel="2" x14ac:dyDescent="0.25">
      <c r="A191" s="34" t="s">
        <v>177</v>
      </c>
      <c r="B191" s="34" t="s">
        <v>169</v>
      </c>
      <c r="C191" s="34" t="s">
        <v>1127</v>
      </c>
      <c r="D191" s="41" t="s">
        <v>1664</v>
      </c>
      <c r="E191" s="12" t="s">
        <v>170</v>
      </c>
      <c r="F191" s="12" t="s">
        <v>265</v>
      </c>
      <c r="G191" s="12" t="s">
        <v>696</v>
      </c>
      <c r="H191" s="14">
        <v>60</v>
      </c>
      <c r="I191" s="15" t="s">
        <v>258</v>
      </c>
      <c r="J191" s="89">
        <f>IF(H191&gt;0,(H191*VLOOKUP(Lookups!$K$11,Lookups!$M$10:$P$43,4,0)/VLOOKUP(I191,Lookups!$M$10:$P$43,4,0)),"")</f>
        <v>69.412936837197165</v>
      </c>
      <c r="K191" s="14"/>
      <c r="L191" s="15"/>
      <c r="M191" s="89" t="str">
        <f>IF(K191&gt;0,(K191*VLOOKUP(Lookups!$K$11,Lookups!$M$10:$P$43,4,0)/VLOOKUP(L191,Lookups!$M$10:$P$43,4,0)),"")</f>
        <v/>
      </c>
      <c r="N191" s="14"/>
      <c r="O191" s="15"/>
      <c r="P191" s="89" t="str">
        <f>IF(N191&gt;0,(N191*VLOOKUP(Lookups!$K$11,Lookups!$M$10:$P$43,4,0)/VLOOKUP(O191,Lookups!$M$10:$P$43,4,0)),"")</f>
        <v/>
      </c>
      <c r="Q191" s="160" t="s">
        <v>1580</v>
      </c>
      <c r="R191" s="15" t="s">
        <v>152</v>
      </c>
      <c r="S191" s="118"/>
      <c r="T191" s="134"/>
      <c r="U191" s="4"/>
      <c r="V191"/>
      <c r="W191"/>
    </row>
    <row r="192" spans="1:23" s="36" customFormat="1" ht="60" hidden="1" customHeight="1" outlineLevel="2" x14ac:dyDescent="0.25">
      <c r="A192" s="34" t="s">
        <v>177</v>
      </c>
      <c r="B192" s="34" t="s">
        <v>169</v>
      </c>
      <c r="C192" s="34" t="s">
        <v>1128</v>
      </c>
      <c r="D192" s="41" t="s">
        <v>1665</v>
      </c>
      <c r="E192" s="12" t="s">
        <v>170</v>
      </c>
      <c r="F192" s="12" t="s">
        <v>205</v>
      </c>
      <c r="G192" s="12"/>
      <c r="H192" s="14">
        <v>10</v>
      </c>
      <c r="I192" s="15" t="s">
        <v>258</v>
      </c>
      <c r="J192" s="89">
        <f>IF(H192&gt;0,(H192*VLOOKUP(Lookups!$K$11,Lookups!$M$10:$P$43,4,0)/VLOOKUP(I192,Lookups!$M$10:$P$43,4,0)),"")</f>
        <v>11.568822806199528</v>
      </c>
      <c r="K192" s="14"/>
      <c r="L192" s="15"/>
      <c r="M192" s="89" t="str">
        <f>IF(K192&gt;0,(K192*VLOOKUP(Lookups!$K$11,Lookups!$M$10:$P$43,4,0)/VLOOKUP(L192,Lookups!$M$10:$P$43,4,0)),"")</f>
        <v/>
      </c>
      <c r="N192" s="14"/>
      <c r="O192" s="15"/>
      <c r="P192" s="89" t="str">
        <f>IF(N192&gt;0,(N192*VLOOKUP(Lookups!$K$11,Lookups!$M$10:$P$43,4,0)/VLOOKUP(O192,Lookups!$M$10:$P$43,4,0)),"")</f>
        <v/>
      </c>
      <c r="Q192" s="160" t="s">
        <v>1580</v>
      </c>
      <c r="R192" s="15" t="s">
        <v>152</v>
      </c>
      <c r="S192" s="118"/>
      <c r="T192" s="134"/>
      <c r="U192" s="4"/>
      <c r="V192"/>
      <c r="W192"/>
    </row>
    <row r="193" spans="1:23" s="36" customFormat="1" ht="60" hidden="1" customHeight="1" outlineLevel="2" x14ac:dyDescent="0.25">
      <c r="A193" s="34" t="s">
        <v>177</v>
      </c>
      <c r="B193" s="34" t="s">
        <v>169</v>
      </c>
      <c r="C193" s="34" t="s">
        <v>1129</v>
      </c>
      <c r="D193" s="41" t="s">
        <v>1666</v>
      </c>
      <c r="E193" s="12" t="s">
        <v>170</v>
      </c>
      <c r="F193" s="12" t="s">
        <v>243</v>
      </c>
      <c r="G193" s="12"/>
      <c r="H193" s="14">
        <v>10</v>
      </c>
      <c r="I193" s="15" t="s">
        <v>258</v>
      </c>
      <c r="J193" s="89">
        <f>IF(H193&gt;0,(H193*VLOOKUP(Lookups!$K$11,Lookups!$M$10:$P$43,4,0)/VLOOKUP(I193,Lookups!$M$10:$P$43,4,0)),"")</f>
        <v>11.568822806199528</v>
      </c>
      <c r="K193" s="14"/>
      <c r="L193" s="15"/>
      <c r="M193" s="89" t="str">
        <f>IF(K193&gt;0,(K193*VLOOKUP(Lookups!$K$11,Lookups!$M$10:$P$43,4,0)/VLOOKUP(L193,Lookups!$M$10:$P$43,4,0)),"")</f>
        <v/>
      </c>
      <c r="N193" s="14"/>
      <c r="O193" s="15"/>
      <c r="P193" s="89" t="str">
        <f>IF(N193&gt;0,(N193*VLOOKUP(Lookups!$K$11,Lookups!$M$10:$P$43,4,0)/VLOOKUP(O193,Lookups!$M$10:$P$43,4,0)),"")</f>
        <v/>
      </c>
      <c r="Q193" s="160" t="s">
        <v>1580</v>
      </c>
      <c r="R193" s="15" t="s">
        <v>152</v>
      </c>
      <c r="S193" s="118"/>
      <c r="T193" s="134"/>
      <c r="U193" s="4"/>
      <c r="V193"/>
      <c r="W193"/>
    </row>
    <row r="194" spans="1:23" s="36" customFormat="1" ht="60" hidden="1" customHeight="1" outlineLevel="1" collapsed="1" x14ac:dyDescent="0.25">
      <c r="A194" s="42" t="s">
        <v>177</v>
      </c>
      <c r="B194" s="42" t="s">
        <v>169</v>
      </c>
      <c r="C194" s="42" t="s">
        <v>1699</v>
      </c>
      <c r="D194" s="42" t="s">
        <v>1667</v>
      </c>
      <c r="E194" s="12" t="s">
        <v>170</v>
      </c>
      <c r="F194" s="12" t="s">
        <v>147</v>
      </c>
      <c r="G194" s="12"/>
      <c r="H194" s="14">
        <v>5330</v>
      </c>
      <c r="I194" s="15" t="s">
        <v>258</v>
      </c>
      <c r="J194" s="89">
        <f>IF(H194&gt;0,(H194*VLOOKUP(Lookups!$K$11,Lookups!$M$10:$P$43,4,0)/VLOOKUP(I194,Lookups!$M$10:$P$43,4,0)),"")</f>
        <v>6166.1825557043476</v>
      </c>
      <c r="K194" s="14">
        <v>4580</v>
      </c>
      <c r="L194" s="15" t="s">
        <v>258</v>
      </c>
      <c r="M194" s="89">
        <f>IF(K194&gt;0,(K194*VLOOKUP(Lookups!$K$11,Lookups!$M$10:$P$43,4,0)/VLOOKUP(L194,Lookups!$M$10:$P$43,4,0)),"")</f>
        <v>5298.5208452393836</v>
      </c>
      <c r="N194" s="14">
        <v>1010</v>
      </c>
      <c r="O194" s="15" t="s">
        <v>258</v>
      </c>
      <c r="P194" s="89">
        <f>IF(N194&gt;0,(N194*VLOOKUP(Lookups!$K$11,Lookups!$M$10:$P$43,4,0)/VLOOKUP(O194,Lookups!$M$10:$P$43,4,0)),"")</f>
        <v>1168.4511034261523</v>
      </c>
      <c r="Q194" s="160" t="s">
        <v>1580</v>
      </c>
      <c r="R194" s="15" t="s">
        <v>152</v>
      </c>
      <c r="S194" s="4" t="s">
        <v>1690</v>
      </c>
      <c r="T194" s="134"/>
      <c r="U194" s="4"/>
      <c r="V194"/>
      <c r="W194"/>
    </row>
    <row r="195" spans="1:23" s="36" customFormat="1" ht="60" hidden="1" customHeight="1" outlineLevel="2" x14ac:dyDescent="0.25">
      <c r="A195" s="34" t="s">
        <v>177</v>
      </c>
      <c r="B195" s="34" t="s">
        <v>169</v>
      </c>
      <c r="C195" s="34" t="s">
        <v>1700</v>
      </c>
      <c r="D195" s="41" t="s">
        <v>1668</v>
      </c>
      <c r="E195" s="12" t="s">
        <v>170</v>
      </c>
      <c r="F195" s="12" t="s">
        <v>632</v>
      </c>
      <c r="G195" s="12"/>
      <c r="H195" s="14">
        <v>1080</v>
      </c>
      <c r="I195" s="15" t="s">
        <v>258</v>
      </c>
      <c r="J195" s="89">
        <f>IF(H195&gt;0,(H195*VLOOKUP(Lookups!$K$11,Lookups!$M$10:$P$43,4,0)/VLOOKUP(I195,Lookups!$M$10:$P$43,4,0)),"")</f>
        <v>1249.4328630695491</v>
      </c>
      <c r="K195" s="14"/>
      <c r="L195" s="15"/>
      <c r="M195" s="89" t="str">
        <f>IF(K195&gt;0,(K195*VLOOKUP(Lookups!$K$11,Lookups!$M$10:$P$43,4,0)/VLOOKUP(L195,Lookups!$M$10:$P$43,4,0)),"")</f>
        <v/>
      </c>
      <c r="N195" s="14"/>
      <c r="O195" s="15"/>
      <c r="P195" s="89" t="str">
        <f>IF(N195&gt;0,(N195*VLOOKUP(Lookups!$K$11,Lookups!$M$10:$P$43,4,0)/VLOOKUP(O195,Lookups!$M$10:$P$43,4,0)),"")</f>
        <v/>
      </c>
      <c r="Q195" s="160" t="s">
        <v>1580</v>
      </c>
      <c r="R195" s="15" t="s">
        <v>152</v>
      </c>
      <c r="S195" s="118"/>
      <c r="T195" s="134"/>
      <c r="U195" s="4"/>
      <c r="V195"/>
      <c r="W195"/>
    </row>
    <row r="196" spans="1:23" s="36" customFormat="1" ht="60" hidden="1" customHeight="1" outlineLevel="2" x14ac:dyDescent="0.25">
      <c r="A196" s="34" t="s">
        <v>177</v>
      </c>
      <c r="B196" s="34" t="s">
        <v>169</v>
      </c>
      <c r="C196" s="34" t="s">
        <v>1701</v>
      </c>
      <c r="D196" s="41" t="s">
        <v>1669</v>
      </c>
      <c r="E196" s="12" t="s">
        <v>170</v>
      </c>
      <c r="F196" s="12" t="s">
        <v>199</v>
      </c>
      <c r="G196" s="12"/>
      <c r="H196" s="14">
        <v>220</v>
      </c>
      <c r="I196" s="15" t="s">
        <v>258</v>
      </c>
      <c r="J196" s="89">
        <f>IF(H196&gt;0,(H196*VLOOKUP(Lookups!$K$11,Lookups!$M$10:$P$43,4,0)/VLOOKUP(I196,Lookups!$M$10:$P$43,4,0)),"")</f>
        <v>254.51410173638959</v>
      </c>
      <c r="K196" s="14"/>
      <c r="L196" s="15"/>
      <c r="M196" s="89" t="str">
        <f>IF(K196&gt;0,(K196*VLOOKUP(Lookups!$K$11,Lookups!$M$10:$P$43,4,0)/VLOOKUP(L196,Lookups!$M$10:$P$43,4,0)),"")</f>
        <v/>
      </c>
      <c r="N196" s="14"/>
      <c r="O196" s="15"/>
      <c r="P196" s="89" t="str">
        <f>IF(N196&gt;0,(N196*VLOOKUP(Lookups!$K$11,Lookups!$M$10:$P$43,4,0)/VLOOKUP(O196,Lookups!$M$10:$P$43,4,0)),"")</f>
        <v/>
      </c>
      <c r="Q196" s="160" t="s">
        <v>1580</v>
      </c>
      <c r="R196" s="15" t="s">
        <v>152</v>
      </c>
      <c r="S196" s="118"/>
      <c r="T196" s="134"/>
      <c r="U196" s="4"/>
      <c r="V196"/>
      <c r="W196"/>
    </row>
    <row r="197" spans="1:23" s="36" customFormat="1" ht="60" hidden="1" customHeight="1" outlineLevel="2" x14ac:dyDescent="0.25">
      <c r="A197" s="34" t="s">
        <v>177</v>
      </c>
      <c r="B197" s="34" t="s">
        <v>169</v>
      </c>
      <c r="C197" s="34" t="s">
        <v>1702</v>
      </c>
      <c r="D197" s="41" t="s">
        <v>1670</v>
      </c>
      <c r="E197" s="12" t="s">
        <v>170</v>
      </c>
      <c r="F197" s="12" t="s">
        <v>265</v>
      </c>
      <c r="G197" s="12" t="s">
        <v>696</v>
      </c>
      <c r="H197" s="14">
        <f>60+2050+120+20+120+180</f>
        <v>2550</v>
      </c>
      <c r="I197" s="15" t="s">
        <v>258</v>
      </c>
      <c r="J197" s="89">
        <f>IF(H197&gt;0,(H197*VLOOKUP(Lookups!$K$11,Lookups!$M$10:$P$43,4,0)/VLOOKUP(I197,Lookups!$M$10:$P$43,4,0)),"")</f>
        <v>2950.0498155808796</v>
      </c>
      <c r="K197" s="14"/>
      <c r="L197" s="15"/>
      <c r="M197" s="89" t="str">
        <f>IF(K197&gt;0,(K197*VLOOKUP(Lookups!$K$11,Lookups!$M$10:$P$43,4,0)/VLOOKUP(L197,Lookups!$M$10:$P$43,4,0)),"")</f>
        <v/>
      </c>
      <c r="N197" s="14"/>
      <c r="O197" s="15"/>
      <c r="P197" s="89" t="str">
        <f>IF(N197&gt;0,(N197*VLOOKUP(Lookups!$K$11,Lookups!$M$10:$P$43,4,0)/VLOOKUP(O197,Lookups!$M$10:$P$43,4,0)),"")</f>
        <v/>
      </c>
      <c r="Q197" s="160" t="s">
        <v>1580</v>
      </c>
      <c r="R197" s="15" t="s">
        <v>152</v>
      </c>
      <c r="S197" s="118"/>
      <c r="T197" s="134"/>
      <c r="U197" s="4"/>
      <c r="V197"/>
      <c r="W197"/>
    </row>
    <row r="198" spans="1:23" s="36" customFormat="1" ht="60" hidden="1" customHeight="1" outlineLevel="2" x14ac:dyDescent="0.25">
      <c r="A198" s="34" t="s">
        <v>177</v>
      </c>
      <c r="B198" s="34" t="s">
        <v>169</v>
      </c>
      <c r="C198" s="34" t="s">
        <v>1703</v>
      </c>
      <c r="D198" s="41" t="s">
        <v>1671</v>
      </c>
      <c r="E198" s="12" t="s">
        <v>170</v>
      </c>
      <c r="F198" s="12" t="s">
        <v>205</v>
      </c>
      <c r="G198" s="12"/>
      <c r="H198" s="14">
        <v>910</v>
      </c>
      <c r="I198" s="15" t="s">
        <v>258</v>
      </c>
      <c r="J198" s="89">
        <f>IF(H198&gt;0,(H198*VLOOKUP(Lookups!$K$11,Lookups!$M$10:$P$43,4,0)/VLOOKUP(I198,Lookups!$M$10:$P$43,4,0)),"")</f>
        <v>1052.762875364157</v>
      </c>
      <c r="K198" s="14"/>
      <c r="L198" s="15"/>
      <c r="M198" s="89" t="str">
        <f>IF(K198&gt;0,(K198*VLOOKUP(Lookups!$K$11,Lookups!$M$10:$P$43,4,0)/VLOOKUP(L198,Lookups!$M$10:$P$43,4,0)),"")</f>
        <v/>
      </c>
      <c r="N198" s="14"/>
      <c r="O198" s="15"/>
      <c r="P198" s="89" t="str">
        <f>IF(N198&gt;0,(N198*VLOOKUP(Lookups!$K$11,Lookups!$M$10:$P$43,4,0)/VLOOKUP(O198,Lookups!$M$10:$P$43,4,0)),"")</f>
        <v/>
      </c>
      <c r="Q198" s="160" t="s">
        <v>1580</v>
      </c>
      <c r="R198" s="15" t="s">
        <v>152</v>
      </c>
      <c r="S198" s="118"/>
      <c r="T198" s="134"/>
      <c r="U198" s="4"/>
      <c r="V198"/>
      <c r="W198"/>
    </row>
    <row r="199" spans="1:23" s="36" customFormat="1" ht="60" hidden="1" customHeight="1" outlineLevel="2" x14ac:dyDescent="0.25">
      <c r="A199" s="34" t="s">
        <v>177</v>
      </c>
      <c r="B199" s="34" t="s">
        <v>169</v>
      </c>
      <c r="C199" s="34" t="s">
        <v>1704</v>
      </c>
      <c r="D199" s="41" t="s">
        <v>1672</v>
      </c>
      <c r="E199" s="12" t="s">
        <v>170</v>
      </c>
      <c r="F199" s="12" t="s">
        <v>243</v>
      </c>
      <c r="G199" s="12"/>
      <c r="H199" s="14">
        <v>230</v>
      </c>
      <c r="I199" s="15" t="s">
        <v>258</v>
      </c>
      <c r="J199" s="89">
        <f>IF(H199&gt;0,(H199*VLOOKUP(Lookups!$K$11,Lookups!$M$10:$P$43,4,0)/VLOOKUP(I199,Lookups!$M$10:$P$43,4,0)),"")</f>
        <v>266.08292454258913</v>
      </c>
      <c r="K199" s="14"/>
      <c r="L199" s="15"/>
      <c r="M199" s="89" t="str">
        <f>IF(K199&gt;0,(K199*VLOOKUP(Lookups!$K$11,Lookups!$M$10:$P$43,4,0)/VLOOKUP(L199,Lookups!$M$10:$P$43,4,0)),"")</f>
        <v/>
      </c>
      <c r="N199" s="14"/>
      <c r="O199" s="15"/>
      <c r="P199" s="89" t="str">
        <f>IF(N199&gt;0,(N199*VLOOKUP(Lookups!$K$11,Lookups!$M$10:$P$43,4,0)/VLOOKUP(O199,Lookups!$M$10:$P$43,4,0)),"")</f>
        <v/>
      </c>
      <c r="Q199" s="160" t="s">
        <v>1580</v>
      </c>
      <c r="R199" s="15" t="s">
        <v>152</v>
      </c>
      <c r="S199" s="118"/>
      <c r="T199" s="134"/>
      <c r="U199" s="4"/>
      <c r="V199"/>
      <c r="W199"/>
    </row>
    <row r="200" spans="1:23" s="36" customFormat="1" ht="60" hidden="1" customHeight="1" outlineLevel="2" x14ac:dyDescent="0.25">
      <c r="A200" s="34" t="s">
        <v>177</v>
      </c>
      <c r="B200" s="34" t="s">
        <v>169</v>
      </c>
      <c r="C200" s="34" t="s">
        <v>1715</v>
      </c>
      <c r="D200" s="41" t="s">
        <v>1673</v>
      </c>
      <c r="E200" s="12" t="s">
        <v>170</v>
      </c>
      <c r="F200" s="12" t="s">
        <v>162</v>
      </c>
      <c r="G200" s="12"/>
      <c r="H200" s="14">
        <v>340</v>
      </c>
      <c r="I200" s="15" t="s">
        <v>258</v>
      </c>
      <c r="J200" s="89">
        <f>IF(H200&gt;0,(H200*VLOOKUP(Lookups!$K$11,Lookups!$M$10:$P$43,4,0)/VLOOKUP(I200,Lookups!$M$10:$P$43,4,0)),"")</f>
        <v>393.33997541078395</v>
      </c>
      <c r="K200" s="14"/>
      <c r="L200" s="15"/>
      <c r="M200" s="89" t="str">
        <f>IF(K200&gt;0,(K200*VLOOKUP(Lookups!$K$11,Lookups!$M$10:$P$43,4,0)/VLOOKUP(L200,Lookups!$M$10:$P$43,4,0)),"")</f>
        <v/>
      </c>
      <c r="N200" s="14"/>
      <c r="O200" s="15"/>
      <c r="P200" s="89" t="str">
        <f>IF(N200&gt;0,(N200*VLOOKUP(Lookups!$K$11,Lookups!$M$10:$P$43,4,0)/VLOOKUP(O200,Lookups!$M$10:$P$43,4,0)),"")</f>
        <v/>
      </c>
      <c r="Q200" s="160" t="s">
        <v>1580</v>
      </c>
      <c r="R200" s="15" t="s">
        <v>152</v>
      </c>
      <c r="S200" s="118"/>
      <c r="T200" s="134"/>
      <c r="U200" s="4"/>
      <c r="V200"/>
      <c r="W200"/>
    </row>
    <row r="201" spans="1:23" s="36" customFormat="1" ht="60" hidden="1" customHeight="1" outlineLevel="2" x14ac:dyDescent="0.25">
      <c r="A201" s="34" t="s">
        <v>177</v>
      </c>
      <c r="B201" s="34" t="s">
        <v>169</v>
      </c>
      <c r="C201" s="34" t="s">
        <v>1716</v>
      </c>
      <c r="D201" s="41" t="s">
        <v>1674</v>
      </c>
      <c r="E201" s="12" t="s">
        <v>170</v>
      </c>
      <c r="F201" s="12" t="s">
        <v>1572</v>
      </c>
      <c r="G201" s="12"/>
      <c r="H201" s="14">
        <v>10</v>
      </c>
      <c r="I201" s="15" t="s">
        <v>258</v>
      </c>
      <c r="J201" s="89">
        <f>IF(H201&gt;0,(H201*VLOOKUP(Lookups!$K$11,Lookups!$M$10:$P$43,4,0)/VLOOKUP(I201,Lookups!$M$10:$P$43,4,0)),"")</f>
        <v>11.568822806199528</v>
      </c>
      <c r="K201" s="14"/>
      <c r="L201" s="15"/>
      <c r="M201" s="89" t="str">
        <f>IF(K201&gt;0,(K201*VLOOKUP(Lookups!$K$11,Lookups!$M$10:$P$43,4,0)/VLOOKUP(L201,Lookups!$M$10:$P$43,4,0)),"")</f>
        <v/>
      </c>
      <c r="N201" s="14"/>
      <c r="O201" s="15"/>
      <c r="P201" s="89" t="str">
        <f>IF(N201&gt;0,(N201*VLOOKUP(Lookups!$K$11,Lookups!$M$10:$P$43,4,0)/VLOOKUP(O201,Lookups!$M$10:$P$43,4,0)),"")</f>
        <v/>
      </c>
      <c r="Q201" s="160" t="s">
        <v>1580</v>
      </c>
      <c r="R201" s="15" t="s">
        <v>152</v>
      </c>
      <c r="S201" s="118"/>
      <c r="T201" s="134"/>
      <c r="U201" s="4"/>
      <c r="V201"/>
      <c r="W201"/>
    </row>
    <row r="202" spans="1:23" s="36" customFormat="1" ht="60" hidden="1" customHeight="1" outlineLevel="1" collapsed="1" x14ac:dyDescent="0.25">
      <c r="A202" s="42" t="s">
        <v>177</v>
      </c>
      <c r="B202" s="42" t="s">
        <v>169</v>
      </c>
      <c r="C202" s="42" t="s">
        <v>1705</v>
      </c>
      <c r="D202" s="42" t="s">
        <v>875</v>
      </c>
      <c r="E202" s="12" t="s">
        <v>170</v>
      </c>
      <c r="F202" s="12" t="s">
        <v>147</v>
      </c>
      <c r="G202" s="12"/>
      <c r="H202" s="14">
        <v>540</v>
      </c>
      <c r="I202" s="15" t="s">
        <v>258</v>
      </c>
      <c r="J202" s="89">
        <f>IF(H202&gt;0,(H202*VLOOKUP(Lookups!$K$11,Lookups!$M$10:$P$43,4,0)/VLOOKUP(I202,Lookups!$M$10:$P$43,4,0)),"")</f>
        <v>624.71643153477453</v>
      </c>
      <c r="K202" s="14">
        <v>810</v>
      </c>
      <c r="L202" s="15" t="s">
        <v>258</v>
      </c>
      <c r="M202" s="89">
        <f>IF(K202&gt;0,(K202*VLOOKUP(Lookups!$K$11,Lookups!$M$10:$P$43,4,0)/VLOOKUP(L202,Lookups!$M$10:$P$43,4,0)),"")</f>
        <v>937.07464730216179</v>
      </c>
      <c r="N202" s="14">
        <v>60</v>
      </c>
      <c r="O202" s="15" t="s">
        <v>258</v>
      </c>
      <c r="P202" s="89">
        <f>IF(N202&gt;0,(N202*VLOOKUP(Lookups!$K$11,Lookups!$M$10:$P$43,4,0)/VLOOKUP(O202,Lookups!$M$10:$P$43,4,0)),"")</f>
        <v>69.412936837197165</v>
      </c>
      <c r="Q202" s="160" t="s">
        <v>1580</v>
      </c>
      <c r="R202" s="15" t="s">
        <v>152</v>
      </c>
      <c r="S202" s="4" t="s">
        <v>1691</v>
      </c>
      <c r="T202" s="134"/>
      <c r="U202" s="4"/>
      <c r="V202"/>
      <c r="W202"/>
    </row>
    <row r="203" spans="1:23" s="36" customFormat="1" ht="60" hidden="1" customHeight="1" outlineLevel="2" x14ac:dyDescent="0.25">
      <c r="A203" s="34" t="s">
        <v>177</v>
      </c>
      <c r="B203" s="34" t="s">
        <v>169</v>
      </c>
      <c r="C203" s="34" t="s">
        <v>1706</v>
      </c>
      <c r="D203" s="41" t="s">
        <v>978</v>
      </c>
      <c r="E203" s="12" t="s">
        <v>170</v>
      </c>
      <c r="F203" s="12" t="s">
        <v>632</v>
      </c>
      <c r="G203" s="12"/>
      <c r="H203" s="14">
        <v>150</v>
      </c>
      <c r="I203" s="15" t="s">
        <v>258</v>
      </c>
      <c r="J203" s="89">
        <f>IF(H203&gt;0,(H203*VLOOKUP(Lookups!$K$11,Lookups!$M$10:$P$43,4,0)/VLOOKUP(I203,Lookups!$M$10:$P$43,4,0)),"")</f>
        <v>173.53234209299291</v>
      </c>
      <c r="K203" s="14"/>
      <c r="L203" s="15"/>
      <c r="M203" s="89" t="str">
        <f>IF(K203&gt;0,(K203*VLOOKUP(Lookups!$K$11,Lookups!$M$10:$P$43,4,0)/VLOOKUP(L203,Lookups!$M$10:$P$43,4,0)),"")</f>
        <v/>
      </c>
      <c r="N203" s="14"/>
      <c r="O203" s="15"/>
      <c r="P203" s="89" t="str">
        <f>IF(N203&gt;0,(N203*VLOOKUP(Lookups!$K$11,Lookups!$M$10:$P$43,4,0)/VLOOKUP(O203,Lookups!$M$10:$P$43,4,0)),"")</f>
        <v/>
      </c>
      <c r="Q203" s="160" t="s">
        <v>1580</v>
      </c>
      <c r="R203" s="15" t="s">
        <v>152</v>
      </c>
      <c r="S203" s="12"/>
      <c r="T203" s="134"/>
      <c r="U203" s="4"/>
      <c r="V203"/>
      <c r="W203"/>
    </row>
    <row r="204" spans="1:23" s="36" customFormat="1" ht="60" hidden="1" customHeight="1" outlineLevel="2" x14ac:dyDescent="0.25">
      <c r="A204" s="34" t="s">
        <v>177</v>
      </c>
      <c r="B204" s="34" t="s">
        <v>169</v>
      </c>
      <c r="C204" s="34" t="s">
        <v>1707</v>
      </c>
      <c r="D204" s="41" t="s">
        <v>887</v>
      </c>
      <c r="E204" s="12" t="s">
        <v>170</v>
      </c>
      <c r="F204" s="12" t="s">
        <v>199</v>
      </c>
      <c r="G204" s="12"/>
      <c r="H204" s="14">
        <v>60</v>
      </c>
      <c r="I204" s="15" t="s">
        <v>258</v>
      </c>
      <c r="J204" s="89">
        <f>IF(H204&gt;0,(H204*VLOOKUP(Lookups!$K$11,Lookups!$M$10:$P$43,4,0)/VLOOKUP(I204,Lookups!$M$10:$P$43,4,0)),"")</f>
        <v>69.412936837197165</v>
      </c>
      <c r="K204" s="14"/>
      <c r="L204" s="15"/>
      <c r="M204" s="89" t="str">
        <f>IF(K204&gt;0,(K204*VLOOKUP(Lookups!$K$11,Lookups!$M$10:$P$43,4,0)/VLOOKUP(L204,Lookups!$M$10:$P$43,4,0)),"")</f>
        <v/>
      </c>
      <c r="N204" s="14"/>
      <c r="O204" s="15"/>
      <c r="P204" s="89" t="str">
        <f>IF(N204&gt;0,(N204*VLOOKUP(Lookups!$K$11,Lookups!$M$10:$P$43,4,0)/VLOOKUP(O204,Lookups!$M$10:$P$43,4,0)),"")</f>
        <v/>
      </c>
      <c r="Q204" s="160" t="s">
        <v>1580</v>
      </c>
      <c r="R204" s="15" t="s">
        <v>152</v>
      </c>
      <c r="S204" s="12"/>
      <c r="T204" s="134"/>
      <c r="U204" s="4"/>
      <c r="V204"/>
      <c r="W204"/>
    </row>
    <row r="205" spans="1:23" s="36" customFormat="1" ht="60" hidden="1" customHeight="1" outlineLevel="2" x14ac:dyDescent="0.25">
      <c r="A205" s="34" t="s">
        <v>177</v>
      </c>
      <c r="B205" s="34" t="s">
        <v>169</v>
      </c>
      <c r="C205" s="34" t="s">
        <v>1708</v>
      </c>
      <c r="D205" s="41" t="s">
        <v>891</v>
      </c>
      <c r="E205" s="12" t="s">
        <v>170</v>
      </c>
      <c r="F205" s="12" t="s">
        <v>265</v>
      </c>
      <c r="G205" s="12" t="s">
        <v>696</v>
      </c>
      <c r="H205" s="14">
        <f>230+40</f>
        <v>270</v>
      </c>
      <c r="I205" s="15" t="s">
        <v>258</v>
      </c>
      <c r="J205" s="89">
        <f>IF(H205&gt;0,(H205*VLOOKUP(Lookups!$K$11,Lookups!$M$10:$P$43,4,0)/VLOOKUP(I205,Lookups!$M$10:$P$43,4,0)),"")</f>
        <v>312.35821576738726</v>
      </c>
      <c r="K205" s="14"/>
      <c r="L205" s="15"/>
      <c r="M205" s="89" t="str">
        <f>IF(K205&gt;0,(K205*VLOOKUP(Lookups!$K$11,Lookups!$M$10:$P$43,4,0)/VLOOKUP(L205,Lookups!$M$10:$P$43,4,0)),"")</f>
        <v/>
      </c>
      <c r="N205" s="14"/>
      <c r="O205" s="15"/>
      <c r="P205" s="89" t="str">
        <f>IF(N205&gt;0,(N205*VLOOKUP(Lookups!$K$11,Lookups!$M$10:$P$43,4,0)/VLOOKUP(O205,Lookups!$M$10:$P$43,4,0)),"")</f>
        <v/>
      </c>
      <c r="Q205" s="160" t="s">
        <v>1580</v>
      </c>
      <c r="R205" s="15" t="s">
        <v>152</v>
      </c>
      <c r="S205" s="12"/>
      <c r="T205" s="134"/>
      <c r="U205" s="4"/>
      <c r="V205"/>
      <c r="W205"/>
    </row>
    <row r="206" spans="1:23" s="36" customFormat="1" ht="60" hidden="1" customHeight="1" outlineLevel="2" x14ac:dyDescent="0.25">
      <c r="A206" s="34" t="s">
        <v>177</v>
      </c>
      <c r="B206" s="34" t="s">
        <v>169</v>
      </c>
      <c r="C206" s="34" t="s">
        <v>1717</v>
      </c>
      <c r="D206" s="41" t="s">
        <v>897</v>
      </c>
      <c r="E206" s="12" t="s">
        <v>170</v>
      </c>
      <c r="F206" s="12" t="s">
        <v>243</v>
      </c>
      <c r="G206" s="12"/>
      <c r="H206" s="14">
        <v>30</v>
      </c>
      <c r="I206" s="15" t="s">
        <v>258</v>
      </c>
      <c r="J206" s="89">
        <f>IF(H206&gt;0,(H206*VLOOKUP(Lookups!$K$11,Lookups!$M$10:$P$43,4,0)/VLOOKUP(I206,Lookups!$M$10:$P$43,4,0)),"")</f>
        <v>34.706468418598583</v>
      </c>
      <c r="K206" s="14"/>
      <c r="L206" s="15"/>
      <c r="M206" s="89" t="str">
        <f>IF(K206&gt;0,(K206*VLOOKUP(Lookups!$K$11,Lookups!$M$10:$P$43,4,0)/VLOOKUP(L206,Lookups!$M$10:$P$43,4,0)),"")</f>
        <v/>
      </c>
      <c r="N206" s="14"/>
      <c r="O206" s="15"/>
      <c r="P206" s="89" t="str">
        <f>IF(N206&gt;0,(N206*VLOOKUP(Lookups!$K$11,Lookups!$M$10:$P$43,4,0)/VLOOKUP(O206,Lookups!$M$10:$P$43,4,0)),"")</f>
        <v/>
      </c>
      <c r="Q206" s="160" t="s">
        <v>1580</v>
      </c>
      <c r="R206" s="15" t="s">
        <v>152</v>
      </c>
      <c r="S206" s="12"/>
      <c r="T206" s="134"/>
      <c r="U206" s="4"/>
      <c r="V206"/>
      <c r="W206"/>
    </row>
    <row r="207" spans="1:23" s="36" customFormat="1" ht="60" hidden="1" customHeight="1" outlineLevel="2" x14ac:dyDescent="0.25">
      <c r="A207" s="34" t="s">
        <v>177</v>
      </c>
      <c r="B207" s="34" t="s">
        <v>169</v>
      </c>
      <c r="C207" s="34" t="s">
        <v>1709</v>
      </c>
      <c r="D207" s="41" t="s">
        <v>1675</v>
      </c>
      <c r="E207" s="12" t="s">
        <v>170</v>
      </c>
      <c r="F207" s="12" t="s">
        <v>162</v>
      </c>
      <c r="G207" s="12"/>
      <c r="H207" s="14">
        <v>40</v>
      </c>
      <c r="I207" s="15" t="s">
        <v>258</v>
      </c>
      <c r="J207" s="89">
        <f>IF(H207&gt;0,(H207*VLOOKUP(Lookups!$K$11,Lookups!$M$10:$P$43,4,0)/VLOOKUP(I207,Lookups!$M$10:$P$43,4,0)),"")</f>
        <v>46.27529122479811</v>
      </c>
      <c r="K207" s="14"/>
      <c r="L207" s="15"/>
      <c r="M207" s="89" t="str">
        <f>IF(K207&gt;0,(K207*VLOOKUP(Lookups!$K$11,Lookups!$M$10:$P$43,4,0)/VLOOKUP(L207,Lookups!$M$10:$P$43,4,0)),"")</f>
        <v/>
      </c>
      <c r="N207" s="14"/>
      <c r="O207" s="15"/>
      <c r="P207" s="89" t="str">
        <f>IF(N207&gt;0,(N207*VLOOKUP(Lookups!$K$11,Lookups!$M$10:$P$43,4,0)/VLOOKUP(O207,Lookups!$M$10:$P$43,4,0)),"")</f>
        <v/>
      </c>
      <c r="Q207" s="160" t="s">
        <v>1580</v>
      </c>
      <c r="R207" s="15" t="s">
        <v>152</v>
      </c>
      <c r="S207" s="12"/>
      <c r="T207" s="134"/>
      <c r="U207" s="4"/>
      <c r="V207"/>
      <c r="W207"/>
    </row>
    <row r="208" spans="1:23" s="36" customFormat="1" ht="59.25" customHeight="1" collapsed="1" x14ac:dyDescent="0.25">
      <c r="A208" s="38" t="s">
        <v>177</v>
      </c>
      <c r="B208" s="38" t="s">
        <v>698</v>
      </c>
      <c r="C208" s="38" t="s">
        <v>1206</v>
      </c>
      <c r="D208" s="38" t="s">
        <v>1211</v>
      </c>
      <c r="E208" s="12" t="s">
        <v>161</v>
      </c>
      <c r="F208" s="12" t="s">
        <v>632</v>
      </c>
      <c r="G208" s="12"/>
      <c r="H208" s="14">
        <v>38.43</v>
      </c>
      <c r="I208" s="15" t="s">
        <v>255</v>
      </c>
      <c r="J208" s="89">
        <f>IF(H208&gt;0,(H208*VLOOKUP(Lookups!$K$11,Lookups!$M$10:$P$43,4,0)/VLOOKUP(I208,Lookups!$M$10:$P$43,4,0)),"")</f>
        <v>46.262164037808056</v>
      </c>
      <c r="K208" s="14"/>
      <c r="L208" s="15"/>
      <c r="M208" s="89" t="str">
        <f>IF(K208&gt;0,(K208*VLOOKUP(Lookups!$K$11,Lookups!$M$10:$P$43,4,0)/VLOOKUP(L208,Lookups!$M$10:$P$43,4,0)),"")</f>
        <v/>
      </c>
      <c r="N208" s="14"/>
      <c r="O208" s="15"/>
      <c r="P208" s="89" t="str">
        <f>IF(N208&gt;0,(N208*VLOOKUP(Lookups!$K$11,Lookups!$M$10:$P$43,4,0)/VLOOKUP(O208,Lookups!$M$10:$P$43,4,0)),"")</f>
        <v/>
      </c>
      <c r="Q208" s="160" t="s">
        <v>1207</v>
      </c>
      <c r="R208" s="15" t="s">
        <v>152</v>
      </c>
      <c r="S208" s="12" t="s">
        <v>1213</v>
      </c>
      <c r="T208" s="134"/>
      <c r="U208" s="12"/>
      <c r="V208"/>
      <c r="W208"/>
    </row>
    <row r="209" spans="1:23" s="36" customFormat="1" ht="59.25" hidden="1" customHeight="1" outlineLevel="1" collapsed="1" x14ac:dyDescent="0.25">
      <c r="A209" s="42" t="s">
        <v>177</v>
      </c>
      <c r="B209" s="42" t="s">
        <v>698</v>
      </c>
      <c r="C209" s="42" t="s">
        <v>1208</v>
      </c>
      <c r="D209" s="42" t="s">
        <v>1210</v>
      </c>
      <c r="E209" s="12" t="s">
        <v>161</v>
      </c>
      <c r="F209" s="12" t="s">
        <v>632</v>
      </c>
      <c r="G209" s="12"/>
      <c r="H209" s="14">
        <v>58.16</v>
      </c>
      <c r="I209" s="15" t="s">
        <v>255</v>
      </c>
      <c r="J209" s="89">
        <f>IF(H209&gt;0,(H209*VLOOKUP(Lookups!$K$11,Lookups!$M$10:$P$43,4,0)/VLOOKUP(I209,Lookups!$M$10:$P$43,4,0)),"")</f>
        <v>70.013204799347292</v>
      </c>
      <c r="K209" s="14"/>
      <c r="L209" s="15"/>
      <c r="M209" s="89" t="str">
        <f>IF(K209&gt;0,(K209*VLOOKUP(Lookups!$K$11,Lookups!$M$10:$P$43,4,0)/VLOOKUP(L209,Lookups!$M$10:$P$43,4,0)),"")</f>
        <v/>
      </c>
      <c r="N209" s="14"/>
      <c r="O209" s="15"/>
      <c r="P209" s="89" t="str">
        <f>IF(N209&gt;0,(N209*VLOOKUP(Lookups!$K$11,Lookups!$M$10:$P$43,4,0)/VLOOKUP(O209,Lookups!$M$10:$P$43,4,0)),"")</f>
        <v/>
      </c>
      <c r="Q209" s="160" t="s">
        <v>1207</v>
      </c>
      <c r="R209" s="15" t="s">
        <v>152</v>
      </c>
      <c r="S209" s="12" t="s">
        <v>1212</v>
      </c>
      <c r="T209" s="134"/>
      <c r="U209" s="12"/>
      <c r="V209"/>
      <c r="W209"/>
    </row>
    <row r="210" spans="1:23" s="36" customFormat="1" ht="59.25" hidden="1" customHeight="1" outlineLevel="1" collapsed="1" x14ac:dyDescent="0.25">
      <c r="A210" s="42" t="s">
        <v>177</v>
      </c>
      <c r="B210" s="42" t="s">
        <v>698</v>
      </c>
      <c r="C210" s="42" t="s">
        <v>1209</v>
      </c>
      <c r="D210" s="42" t="s">
        <v>1215</v>
      </c>
      <c r="E210" s="12" t="s">
        <v>161</v>
      </c>
      <c r="F210" s="12" t="s">
        <v>632</v>
      </c>
      <c r="G210" s="12"/>
      <c r="H210" s="14">
        <v>30.41</v>
      </c>
      <c r="I210" s="15" t="s">
        <v>255</v>
      </c>
      <c r="J210" s="89">
        <f>IF(H210&gt;0,(H210*VLOOKUP(Lookups!$K$11,Lookups!$M$10:$P$43,4,0)/VLOOKUP(I210,Lookups!$M$10:$P$43,4,0)),"")</f>
        <v>36.60766090007138</v>
      </c>
      <c r="K210" s="14"/>
      <c r="L210" s="15"/>
      <c r="M210" s="89" t="str">
        <f>IF(K210&gt;0,(K210*VLOOKUP(Lookups!$K$11,Lookups!$M$10:$P$43,4,0)/VLOOKUP(L210,Lookups!$M$10:$P$43,4,0)),"")</f>
        <v/>
      </c>
      <c r="N210" s="14"/>
      <c r="O210" s="15"/>
      <c r="P210" s="89" t="str">
        <f>IF(N210&gt;0,(N210*VLOOKUP(Lookups!$K$11,Lookups!$M$10:$P$43,4,0)/VLOOKUP(O210,Lookups!$M$10:$P$43,4,0)),"")</f>
        <v/>
      </c>
      <c r="Q210" s="160" t="s">
        <v>1207</v>
      </c>
      <c r="R210" s="15" t="s">
        <v>152</v>
      </c>
      <c r="S210" s="12" t="s">
        <v>1214</v>
      </c>
      <c r="T210" s="134"/>
      <c r="U210" s="12"/>
      <c r="V210"/>
      <c r="W210"/>
    </row>
    <row r="211" spans="1:23" s="36" customFormat="1" ht="60" customHeight="1" x14ac:dyDescent="0.25">
      <c r="A211" s="38" t="s">
        <v>177</v>
      </c>
      <c r="B211" s="38" t="s">
        <v>241</v>
      </c>
      <c r="C211" s="38" t="s">
        <v>1823</v>
      </c>
      <c r="D211" s="38" t="s">
        <v>1824</v>
      </c>
      <c r="E211" s="12" t="s">
        <v>161</v>
      </c>
      <c r="F211" s="12" t="s">
        <v>147</v>
      </c>
      <c r="G211" s="12" t="s">
        <v>201</v>
      </c>
      <c r="H211" s="14">
        <v>34</v>
      </c>
      <c r="I211" s="15" t="s">
        <v>194</v>
      </c>
      <c r="J211" s="89">
        <f>IF(H211&gt;0,(H211*VLOOKUP(Lookups!$K$11,Lookups!$M$10:$P$43,4,0)/VLOOKUP(I211,Lookups!$M$10:$P$43,4,0)),"")</f>
        <v>44.77182135784571</v>
      </c>
      <c r="K211" s="14"/>
      <c r="L211" s="15"/>
      <c r="M211" s="89" t="str">
        <f>IF(K211&gt;0,(K211*VLOOKUP(Lookups!$K$11,Lookups!$M$10:$P$43,4,0)/VLOOKUP(L211,Lookups!$M$10:$P$43,4,0)),"")</f>
        <v/>
      </c>
      <c r="N211" s="14"/>
      <c r="O211" s="15"/>
      <c r="P211" s="89" t="str">
        <f>IF(N211&gt;0,(N211*VLOOKUP(Lookups!$K$11,Lookups!$M$10:$P$43,4,0)/VLOOKUP(O211,Lookups!$M$10:$P$43,4,0)),"")</f>
        <v/>
      </c>
      <c r="Q211" s="143" t="s">
        <v>1825</v>
      </c>
      <c r="R211" s="15" t="s">
        <v>149</v>
      </c>
      <c r="S211" s="133" t="s">
        <v>1826</v>
      </c>
      <c r="T211" s="134"/>
      <c r="U211" s="12"/>
      <c r="V211"/>
      <c r="W211"/>
    </row>
    <row r="212" spans="1:23" s="36" customFormat="1" ht="60" customHeight="1" collapsed="1" x14ac:dyDescent="0.25">
      <c r="A212" s="38" t="s">
        <v>177</v>
      </c>
      <c r="B212" s="38" t="s">
        <v>171</v>
      </c>
      <c r="C212" s="38" t="s">
        <v>1839</v>
      </c>
      <c r="D212" s="38" t="s">
        <v>1833</v>
      </c>
      <c r="E212" s="12" t="s">
        <v>1828</v>
      </c>
      <c r="F212" s="12" t="s">
        <v>205</v>
      </c>
      <c r="G212" s="12" t="s">
        <v>147</v>
      </c>
      <c r="H212" s="14">
        <v>199</v>
      </c>
      <c r="I212" s="15" t="s">
        <v>194</v>
      </c>
      <c r="J212" s="89">
        <f>IF(H212&gt;0,(H212*VLOOKUP(Lookups!$K$11,Lookups!$M$10:$P$43,4,0)/VLOOKUP(I212,Lookups!$M$10:$P$43,4,0)),"")</f>
        <v>262.04683677092049</v>
      </c>
      <c r="K212" s="14"/>
      <c r="L212" s="15"/>
      <c r="M212" s="89" t="str">
        <f>IF(K212&gt;0,(K212*VLOOKUP(Lookups!$K$11,Lookups!$M$10:$P$43,4,0)/VLOOKUP(L212,Lookups!$M$10:$P$43,4,0)),"")</f>
        <v/>
      </c>
      <c r="N212" s="14"/>
      <c r="O212" s="15"/>
      <c r="P212" s="89" t="str">
        <f>IF(N212&gt;0,(N212*VLOOKUP(Lookups!$K$11,Lookups!$M$10:$P$43,4,0)/VLOOKUP(O212,Lookups!$M$10:$P$43,4,0)),"")</f>
        <v/>
      </c>
      <c r="Q212" s="143" t="s">
        <v>1829</v>
      </c>
      <c r="R212" s="15" t="s">
        <v>149</v>
      </c>
      <c r="S212" s="135" t="s">
        <v>1834</v>
      </c>
      <c r="T212" s="134"/>
      <c r="U212" s="12"/>
      <c r="V212"/>
      <c r="W212"/>
    </row>
    <row r="213" spans="1:23" s="36" customFormat="1" ht="59.25" hidden="1" customHeight="1" outlineLevel="1" x14ac:dyDescent="0.25">
      <c r="A213" s="42" t="s">
        <v>177</v>
      </c>
      <c r="B213" s="42" t="s">
        <v>171</v>
      </c>
      <c r="C213" s="42" t="s">
        <v>1840</v>
      </c>
      <c r="D213" s="42" t="s">
        <v>1827</v>
      </c>
      <c r="E213" s="12" t="s">
        <v>1828</v>
      </c>
      <c r="F213" s="12" t="s">
        <v>205</v>
      </c>
      <c r="G213" s="12" t="s">
        <v>147</v>
      </c>
      <c r="H213" s="14">
        <v>586</v>
      </c>
      <c r="I213" s="15" t="s">
        <v>194</v>
      </c>
      <c r="J213" s="89">
        <f>IF(H213&gt;0,(H213*VLOOKUP(Lookups!$K$11,Lookups!$M$10:$P$43,4,0)/VLOOKUP(I213,Lookups!$M$10:$P$43,4,0)),"")</f>
        <v>771.65550928522316</v>
      </c>
      <c r="K213" s="14"/>
      <c r="L213" s="134"/>
      <c r="M213" s="89" t="str">
        <f>IF(K213&gt;0,(K213*VLOOKUP(Lookups!$K$11,Lookups!$M$10:$P$43,4,0)/VLOOKUP(L213,Lookups!$M$10:$P$43,4,0)),"")</f>
        <v/>
      </c>
      <c r="N213" s="14"/>
      <c r="O213" s="134"/>
      <c r="P213" s="89" t="str">
        <f>IF(N213&gt;0,(N213*VLOOKUP(Lookups!$K$11,Lookups!$M$10:$P$43,4,0)/VLOOKUP(O213,Lookups!$M$10:$P$43,4,0)),"")</f>
        <v/>
      </c>
      <c r="Q213" s="143" t="s">
        <v>1829</v>
      </c>
      <c r="R213" s="15" t="s">
        <v>149</v>
      </c>
      <c r="S213" s="12" t="s">
        <v>1830</v>
      </c>
      <c r="T213" s="134"/>
      <c r="U213" s="12"/>
      <c r="V213" s="130"/>
      <c r="W213" s="130"/>
    </row>
    <row r="214" spans="1:23" s="36" customFormat="1" ht="59.25" hidden="1" customHeight="1" outlineLevel="1" x14ac:dyDescent="0.25">
      <c r="A214" s="42" t="s">
        <v>177</v>
      </c>
      <c r="B214" s="42" t="s">
        <v>171</v>
      </c>
      <c r="C214" s="42" t="s">
        <v>1841</v>
      </c>
      <c r="D214" s="42" t="s">
        <v>1831</v>
      </c>
      <c r="E214" s="12" t="s">
        <v>1828</v>
      </c>
      <c r="F214" s="12" t="s">
        <v>205</v>
      </c>
      <c r="G214" s="12" t="s">
        <v>147</v>
      </c>
      <c r="H214" s="14">
        <v>494</v>
      </c>
      <c r="I214" s="15" t="s">
        <v>194</v>
      </c>
      <c r="J214" s="89">
        <f>IF(H214&gt;0,(H214*VLOOKUP(Lookups!$K$11,Lookups!$M$10:$P$43,4,0)/VLOOKUP(I214,Lookups!$M$10:$P$43,4,0)),"")</f>
        <v>650.50822796399359</v>
      </c>
      <c r="K214" s="14"/>
      <c r="L214" s="134"/>
      <c r="M214" s="89" t="str">
        <f>IF(K214&gt;0,(K214*VLOOKUP(Lookups!$K$11,Lookups!$M$10:$P$43,4,0)/VLOOKUP(L214,Lookups!$M$10:$P$43,4,0)),"")</f>
        <v/>
      </c>
      <c r="N214" s="14"/>
      <c r="O214" s="134"/>
      <c r="P214" s="89" t="str">
        <f>IF(N214&gt;0,(N214*VLOOKUP(Lookups!$K$11,Lookups!$M$10:$P$43,4,0)/VLOOKUP(O214,Lookups!$M$10:$P$43,4,0)),"")</f>
        <v/>
      </c>
      <c r="Q214" s="143" t="s">
        <v>1829</v>
      </c>
      <c r="R214" s="15" t="s">
        <v>149</v>
      </c>
      <c r="S214" s="12" t="s">
        <v>1832</v>
      </c>
      <c r="T214" s="134"/>
      <c r="U214" s="12"/>
      <c r="V214" s="130"/>
      <c r="W214" s="130"/>
    </row>
    <row r="215" spans="1:23" s="36" customFormat="1" ht="59.25" hidden="1" customHeight="1" outlineLevel="1" x14ac:dyDescent="0.25">
      <c r="A215" s="42" t="s">
        <v>177</v>
      </c>
      <c r="B215" s="42" t="s">
        <v>171</v>
      </c>
      <c r="C215" s="42" t="s">
        <v>1842</v>
      </c>
      <c r="D215" s="42" t="s">
        <v>1835</v>
      </c>
      <c r="E215" s="12" t="s">
        <v>1836</v>
      </c>
      <c r="F215" s="12" t="s">
        <v>205</v>
      </c>
      <c r="G215" s="12" t="s">
        <v>147</v>
      </c>
      <c r="H215" s="14">
        <v>22.43</v>
      </c>
      <c r="I215" s="15" t="s">
        <v>194</v>
      </c>
      <c r="J215" s="89">
        <f>IF(H215&gt;0,(H215*VLOOKUP(Lookups!$K$11,Lookups!$M$10:$P$43,4,0)/VLOOKUP(I215,Lookups!$M$10:$P$43,4,0)),"")</f>
        <v>29.53623391342586</v>
      </c>
      <c r="K215" s="14"/>
      <c r="L215" s="134"/>
      <c r="M215" s="89" t="str">
        <f>IF(K215&gt;0,(K215*VLOOKUP(Lookups!$K$11,Lookups!$M$10:$P$43,4,0)/VLOOKUP(L215,Lookups!$M$10:$P$43,4,0)),"")</f>
        <v/>
      </c>
      <c r="N215" s="14"/>
      <c r="O215" s="134"/>
      <c r="P215" s="89" t="str">
        <f>IF(N215&gt;0,(N215*VLOOKUP(Lookups!$K$11,Lookups!$M$10:$P$43,4,0)/VLOOKUP(O215,Lookups!$M$10:$P$43,4,0)),"")</f>
        <v/>
      </c>
      <c r="Q215" s="143" t="s">
        <v>1837</v>
      </c>
      <c r="R215" s="15" t="s">
        <v>149</v>
      </c>
      <c r="S215" s="12" t="s">
        <v>1838</v>
      </c>
      <c r="T215" s="134"/>
      <c r="U215" s="12"/>
      <c r="V215" s="130"/>
      <c r="W215" s="130"/>
    </row>
    <row r="216" spans="1:23" s="36" customFormat="1" ht="60" customHeight="1" x14ac:dyDescent="0.25">
      <c r="A216" s="38" t="s">
        <v>177</v>
      </c>
      <c r="B216" s="38" t="s">
        <v>713</v>
      </c>
      <c r="C216" s="38" t="s">
        <v>1846</v>
      </c>
      <c r="D216" s="38" t="s">
        <v>1843</v>
      </c>
      <c r="E216" s="12" t="s">
        <v>170</v>
      </c>
      <c r="F216" s="12" t="s">
        <v>632</v>
      </c>
      <c r="G216" s="12"/>
      <c r="H216" s="14">
        <v>2415.8000000000002</v>
      </c>
      <c r="I216" s="15" t="s">
        <v>254</v>
      </c>
      <c r="J216" s="89">
        <f>IF(H216&gt;0,(H216*VLOOKUP(Lookups!$K$11,Lookups!$M$10:$P$43,4,0)/VLOOKUP(I216,Lookups!$M$10:$P$43,4,0)),"")</f>
        <v>2974.7614238707652</v>
      </c>
      <c r="K216" s="14"/>
      <c r="L216" s="15"/>
      <c r="M216" s="89" t="str">
        <f>IF(K216&gt;0,(K216*VLOOKUP(Lookups!$K$11,Lookups!$M$10:$P$43,4,0)/VLOOKUP(L216,Lookups!$M$10:$P$43,4,0)),"")</f>
        <v/>
      </c>
      <c r="N216" s="14"/>
      <c r="O216" s="15"/>
      <c r="P216" s="89" t="str">
        <f>IF(N216&gt;0,(N216*VLOOKUP(Lookups!$K$11,Lookups!$M$10:$P$43,4,0)/VLOOKUP(O216,Lookups!$M$10:$P$43,4,0)),"")</f>
        <v/>
      </c>
      <c r="Q216" s="143" t="s">
        <v>1844</v>
      </c>
      <c r="R216" s="15" t="s">
        <v>149</v>
      </c>
      <c r="S216" s="135" t="s">
        <v>1845</v>
      </c>
      <c r="T216" s="134"/>
      <c r="U216" s="12"/>
      <c r="V216"/>
      <c r="W216"/>
    </row>
    <row r="217" spans="1:23" s="36" customFormat="1" x14ac:dyDescent="0.25">
      <c r="A217" s="124"/>
      <c r="B217" s="124"/>
      <c r="C217" s="124"/>
      <c r="D217" s="124"/>
      <c r="E217" s="119"/>
      <c r="F217" s="119"/>
      <c r="G217" s="119"/>
      <c r="H217" s="125"/>
      <c r="I217" s="120"/>
      <c r="J217" s="121"/>
      <c r="K217" s="125"/>
      <c r="L217" s="120"/>
      <c r="M217" s="121"/>
      <c r="N217" s="125"/>
      <c r="O217" s="120"/>
      <c r="P217" s="121"/>
      <c r="Q217" s="119"/>
      <c r="R217" s="120"/>
      <c r="S217" s="119"/>
      <c r="T217" s="184"/>
      <c r="U217" s="132"/>
      <c r="V217"/>
      <c r="W217"/>
    </row>
    <row r="219" spans="1:23" x14ac:dyDescent="0.25">
      <c r="D219" s="69"/>
      <c r="H219" s="68"/>
      <c r="I219" s="68"/>
      <c r="J219" s="68"/>
      <c r="K219" s="68"/>
      <c r="L219" s="68"/>
      <c r="M219" s="68"/>
      <c r="N219" s="68"/>
      <c r="O219" s="68"/>
      <c r="P219" s="68"/>
    </row>
    <row r="220" spans="1:23" x14ac:dyDescent="0.25">
      <c r="D220" s="69"/>
      <c r="H220" s="68"/>
      <c r="I220" s="68"/>
      <c r="J220" s="68"/>
      <c r="K220" s="68"/>
      <c r="L220" s="68"/>
      <c r="M220" s="68"/>
      <c r="N220" s="68"/>
      <c r="O220" s="68"/>
      <c r="P220" s="68"/>
    </row>
    <row r="221" spans="1:23" x14ac:dyDescent="0.25">
      <c r="D221" s="69"/>
      <c r="H221" s="68"/>
      <c r="I221" s="68"/>
      <c r="J221" s="68"/>
      <c r="K221" s="68"/>
      <c r="L221" s="68"/>
      <c r="M221" s="68"/>
      <c r="N221" s="68"/>
      <c r="O221" s="68"/>
      <c r="P221" s="68"/>
    </row>
    <row r="222" spans="1:23" x14ac:dyDescent="0.25">
      <c r="D222" s="69"/>
      <c r="H222" s="68"/>
      <c r="I222" s="68"/>
      <c r="J222" s="68"/>
      <c r="K222" s="68"/>
      <c r="L222" s="68"/>
      <c r="M222" s="68"/>
      <c r="N222" s="68"/>
      <c r="O222" s="68"/>
      <c r="P222" s="68"/>
    </row>
    <row r="223" spans="1:23" x14ac:dyDescent="0.25">
      <c r="D223" s="69"/>
      <c r="H223" s="68"/>
      <c r="I223" s="68"/>
      <c r="J223" s="68"/>
      <c r="K223" s="68"/>
      <c r="L223" s="68"/>
      <c r="M223" s="68"/>
      <c r="N223" s="68"/>
      <c r="O223" s="68"/>
      <c r="P223" s="68"/>
    </row>
    <row r="224" spans="1:23" x14ac:dyDescent="0.25">
      <c r="D224" s="69"/>
      <c r="H224" s="68"/>
      <c r="I224" s="68"/>
      <c r="J224" s="68"/>
      <c r="K224" s="68"/>
      <c r="L224" s="68"/>
      <c r="M224" s="68"/>
      <c r="N224" s="68"/>
      <c r="O224" s="68"/>
      <c r="P224" s="68"/>
    </row>
    <row r="225" spans="4:16" x14ac:dyDescent="0.25">
      <c r="D225" s="69"/>
      <c r="H225" s="68"/>
      <c r="I225" s="68"/>
      <c r="J225" s="68"/>
      <c r="K225" s="68"/>
      <c r="L225" s="68"/>
      <c r="M225" s="68"/>
      <c r="N225" s="68"/>
      <c r="O225" s="68"/>
      <c r="P225" s="68"/>
    </row>
    <row r="226" spans="4:16" x14ac:dyDescent="0.25">
      <c r="D226" s="69"/>
      <c r="H226" s="68"/>
      <c r="I226" s="68"/>
      <c r="J226" s="68"/>
      <c r="K226" s="68"/>
      <c r="L226" s="68"/>
      <c r="M226" s="68"/>
      <c r="N226" s="68"/>
      <c r="O226" s="68"/>
      <c r="P226" s="68"/>
    </row>
    <row r="227" spans="4:16" x14ac:dyDescent="0.25">
      <c r="D227" s="69"/>
      <c r="H227" s="68"/>
      <c r="I227" s="68"/>
      <c r="J227" s="68"/>
      <c r="K227" s="68"/>
      <c r="L227" s="68"/>
      <c r="M227" s="68"/>
      <c r="N227" s="68"/>
      <c r="O227" s="68"/>
      <c r="P227" s="68"/>
    </row>
    <row r="228" spans="4:16" x14ac:dyDescent="0.25">
      <c r="D228" s="69"/>
      <c r="H228" s="68"/>
      <c r="I228" s="68"/>
      <c r="J228" s="68"/>
      <c r="K228" s="68"/>
      <c r="L228" s="68"/>
      <c r="M228" s="68"/>
      <c r="N228" s="68"/>
      <c r="O228" s="68"/>
      <c r="P228" s="68"/>
    </row>
    <row r="229" spans="4:16" x14ac:dyDescent="0.25">
      <c r="D229" s="69"/>
      <c r="H229" s="68"/>
      <c r="I229" s="68"/>
      <c r="J229" s="68"/>
      <c r="K229" s="68"/>
      <c r="L229" s="68"/>
      <c r="M229" s="68"/>
      <c r="N229" s="68"/>
      <c r="O229" s="68"/>
      <c r="P229" s="68"/>
    </row>
    <row r="230" spans="4:16" x14ac:dyDescent="0.25">
      <c r="D230" s="69"/>
      <c r="H230" s="68"/>
      <c r="I230" s="68"/>
      <c r="J230" s="68"/>
      <c r="K230" s="68"/>
      <c r="L230" s="68"/>
      <c r="M230" s="68"/>
      <c r="N230" s="68"/>
      <c r="O230" s="68"/>
      <c r="P230" s="68"/>
    </row>
    <row r="231" spans="4:16" x14ac:dyDescent="0.25">
      <c r="D231" s="69"/>
      <c r="H231" s="68"/>
      <c r="I231" s="68"/>
      <c r="J231" s="68"/>
      <c r="K231" s="68"/>
      <c r="L231" s="68"/>
      <c r="M231" s="68"/>
      <c r="N231" s="68"/>
      <c r="O231" s="68"/>
      <c r="P231" s="68"/>
    </row>
    <row r="232" spans="4:16" x14ac:dyDescent="0.25">
      <c r="D232" s="69"/>
      <c r="H232" s="68"/>
      <c r="I232" s="68"/>
      <c r="J232" s="68"/>
      <c r="K232" s="68"/>
      <c r="L232" s="68"/>
      <c r="M232" s="68"/>
      <c r="N232" s="68"/>
      <c r="O232" s="68"/>
      <c r="P232" s="68"/>
    </row>
    <row r="233" spans="4:16" x14ac:dyDescent="0.25">
      <c r="D233" s="69"/>
      <c r="H233" s="68"/>
      <c r="I233" s="68"/>
      <c r="J233" s="68"/>
      <c r="K233" s="68"/>
      <c r="L233" s="68"/>
      <c r="M233" s="68"/>
      <c r="N233" s="68"/>
      <c r="O233" s="68"/>
      <c r="P233" s="68"/>
    </row>
    <row r="234" spans="4:16" x14ac:dyDescent="0.25">
      <c r="D234" s="69"/>
      <c r="H234" s="68"/>
      <c r="I234" s="68"/>
      <c r="J234" s="68"/>
      <c r="K234" s="68"/>
      <c r="L234" s="68"/>
      <c r="M234" s="68"/>
      <c r="N234" s="68"/>
      <c r="O234" s="68"/>
      <c r="P234" s="68"/>
    </row>
    <row r="235" spans="4:16" x14ac:dyDescent="0.25">
      <c r="D235" s="69"/>
      <c r="H235" s="68"/>
      <c r="I235" s="68"/>
      <c r="J235" s="68"/>
      <c r="K235" s="68"/>
      <c r="L235" s="68"/>
      <c r="M235" s="68"/>
      <c r="N235" s="68"/>
      <c r="O235" s="68"/>
      <c r="P235" s="68"/>
    </row>
    <row r="236" spans="4:16" x14ac:dyDescent="0.25">
      <c r="D236" s="69"/>
      <c r="H236" s="68"/>
      <c r="I236" s="68"/>
      <c r="J236" s="68"/>
      <c r="K236" s="68"/>
      <c r="L236" s="68"/>
      <c r="M236" s="68"/>
      <c r="N236" s="68"/>
      <c r="O236" s="68"/>
      <c r="P236" s="68"/>
    </row>
    <row r="237" spans="4:16" x14ac:dyDescent="0.25">
      <c r="D237" s="69"/>
      <c r="H237" s="68"/>
      <c r="I237" s="68"/>
      <c r="J237" s="68"/>
      <c r="K237" s="68"/>
      <c r="L237" s="68"/>
      <c r="M237" s="68"/>
      <c r="N237" s="68"/>
      <c r="O237" s="68"/>
      <c r="P237" s="68"/>
    </row>
    <row r="238" spans="4:16" x14ac:dyDescent="0.25">
      <c r="D238" s="69"/>
      <c r="H238" s="68"/>
      <c r="I238" s="68"/>
      <c r="J238" s="68"/>
      <c r="K238" s="68"/>
      <c r="L238" s="68"/>
      <c r="M238" s="68"/>
      <c r="N238" s="68"/>
      <c r="O238" s="68"/>
      <c r="P238" s="68"/>
    </row>
    <row r="239" spans="4:16" x14ac:dyDescent="0.25">
      <c r="D239" s="69"/>
      <c r="H239" s="68"/>
      <c r="I239" s="68"/>
      <c r="J239" s="68"/>
      <c r="K239" s="68"/>
      <c r="L239" s="68"/>
      <c r="M239" s="68"/>
      <c r="N239" s="68"/>
      <c r="O239" s="68"/>
      <c r="P239" s="68"/>
    </row>
    <row r="240" spans="4:16" x14ac:dyDescent="0.25">
      <c r="D240" s="69"/>
      <c r="H240" s="68"/>
      <c r="I240" s="68"/>
      <c r="J240" s="68"/>
      <c r="K240" s="68"/>
      <c r="L240" s="68"/>
      <c r="M240" s="68"/>
      <c r="N240" s="68"/>
      <c r="O240" s="68"/>
      <c r="P240" s="68"/>
    </row>
    <row r="241" spans="4:16" x14ac:dyDescent="0.25">
      <c r="D241" s="69"/>
      <c r="H241" s="68"/>
      <c r="I241" s="68"/>
      <c r="J241" s="68"/>
      <c r="K241" s="68"/>
      <c r="L241" s="68"/>
      <c r="M241" s="68"/>
      <c r="N241" s="68"/>
      <c r="O241" s="68"/>
      <c r="P241" s="68"/>
    </row>
    <row r="242" spans="4:16" x14ac:dyDescent="0.25">
      <c r="D242" s="69"/>
      <c r="H242" s="68"/>
      <c r="I242" s="68"/>
      <c r="J242" s="68"/>
      <c r="K242" s="68"/>
      <c r="L242" s="68"/>
      <c r="M242" s="68"/>
      <c r="N242" s="68"/>
      <c r="O242" s="68"/>
      <c r="P242" s="68"/>
    </row>
    <row r="243" spans="4:16" x14ac:dyDescent="0.25">
      <c r="D243" s="69"/>
      <c r="H243" s="68"/>
      <c r="I243" s="68"/>
      <c r="J243" s="68"/>
      <c r="K243" s="68"/>
      <c r="L243" s="68"/>
      <c r="M243" s="68"/>
      <c r="N243" s="68"/>
      <c r="O243" s="68"/>
      <c r="P243" s="68"/>
    </row>
    <row r="244" spans="4:16" x14ac:dyDescent="0.25">
      <c r="D244" s="69"/>
      <c r="H244" s="68"/>
      <c r="I244" s="68"/>
      <c r="J244" s="68"/>
      <c r="K244" s="68"/>
      <c r="L244" s="68"/>
      <c r="M244" s="68"/>
      <c r="N244" s="68"/>
      <c r="O244" s="68"/>
      <c r="P244" s="68"/>
    </row>
    <row r="245" spans="4:16" x14ac:dyDescent="0.25">
      <c r="D245" s="69"/>
      <c r="H245" s="68"/>
      <c r="I245" s="68"/>
      <c r="J245" s="68"/>
      <c r="K245" s="68"/>
      <c r="L245" s="68"/>
      <c r="M245" s="68"/>
      <c r="N245" s="68"/>
      <c r="O245" s="68"/>
      <c r="P245" s="68"/>
    </row>
    <row r="246" spans="4:16" x14ac:dyDescent="0.25">
      <c r="D246" s="69"/>
      <c r="H246" s="68"/>
      <c r="I246" s="68"/>
      <c r="J246" s="68"/>
      <c r="K246" s="68"/>
      <c r="L246" s="68"/>
      <c r="M246" s="68"/>
      <c r="N246" s="68"/>
      <c r="O246" s="68"/>
      <c r="P246" s="68"/>
    </row>
    <row r="247" spans="4:16" x14ac:dyDescent="0.25">
      <c r="D247" s="69"/>
      <c r="H247" s="68"/>
      <c r="I247" s="68"/>
      <c r="J247" s="68"/>
      <c r="K247" s="68"/>
      <c r="L247" s="68"/>
      <c r="M247" s="68"/>
      <c r="N247" s="68"/>
      <c r="O247" s="68"/>
      <c r="P247" s="68"/>
    </row>
    <row r="248" spans="4:16" x14ac:dyDescent="0.25">
      <c r="D248" s="69"/>
      <c r="H248" s="68"/>
      <c r="I248" s="68"/>
      <c r="J248" s="68"/>
      <c r="K248" s="68"/>
      <c r="L248" s="68"/>
      <c r="M248" s="68"/>
      <c r="N248" s="68"/>
      <c r="O248" s="68"/>
      <c r="P248" s="68"/>
    </row>
    <row r="249" spans="4:16" x14ac:dyDescent="0.25">
      <c r="D249" s="69"/>
      <c r="H249" s="68"/>
      <c r="I249" s="68"/>
      <c r="J249" s="68"/>
      <c r="K249" s="68"/>
      <c r="L249" s="68"/>
      <c r="M249" s="68"/>
      <c r="N249" s="68"/>
      <c r="O249" s="68"/>
      <c r="P249" s="68"/>
    </row>
    <row r="250" spans="4:16" x14ac:dyDescent="0.25">
      <c r="D250" s="69"/>
      <c r="H250" s="68"/>
      <c r="I250" s="68"/>
      <c r="J250" s="68"/>
      <c r="K250" s="68"/>
      <c r="L250" s="68"/>
      <c r="M250" s="68"/>
      <c r="N250" s="68"/>
      <c r="O250" s="68"/>
      <c r="P250" s="68"/>
    </row>
    <row r="251" spans="4:16" x14ac:dyDescent="0.25">
      <c r="D251" s="69"/>
      <c r="H251" s="68"/>
      <c r="I251" s="68"/>
      <c r="J251" s="68"/>
      <c r="K251" s="68"/>
      <c r="L251" s="68"/>
      <c r="M251" s="68"/>
      <c r="N251" s="68"/>
      <c r="O251" s="68"/>
      <c r="P251" s="68"/>
    </row>
    <row r="252" spans="4:16" x14ac:dyDescent="0.25">
      <c r="D252" s="69"/>
      <c r="H252" s="68"/>
      <c r="I252" s="68"/>
      <c r="J252" s="68"/>
      <c r="K252" s="68"/>
      <c r="L252" s="68"/>
      <c r="M252" s="68"/>
      <c r="N252" s="68"/>
      <c r="O252" s="68"/>
      <c r="P252" s="68"/>
    </row>
    <row r="253" spans="4:16" x14ac:dyDescent="0.25">
      <c r="D253" s="69"/>
      <c r="H253" s="68"/>
      <c r="I253" s="68"/>
      <c r="J253" s="68"/>
      <c r="K253" s="68"/>
      <c r="L253" s="68"/>
      <c r="M253" s="68"/>
      <c r="N253" s="68"/>
      <c r="O253" s="68"/>
      <c r="P253" s="68"/>
    </row>
    <row r="254" spans="4:16" x14ac:dyDescent="0.25">
      <c r="D254" s="69"/>
      <c r="H254" s="68"/>
      <c r="I254" s="68"/>
      <c r="J254" s="68"/>
      <c r="K254" s="68"/>
      <c r="L254" s="68"/>
      <c r="M254" s="68"/>
      <c r="N254" s="68"/>
      <c r="O254" s="68"/>
      <c r="P254" s="68"/>
    </row>
    <row r="255" spans="4:16" x14ac:dyDescent="0.25">
      <c r="D255" s="69"/>
      <c r="H255" s="68"/>
      <c r="I255" s="68"/>
      <c r="J255" s="68"/>
      <c r="K255" s="68"/>
      <c r="L255" s="68"/>
      <c r="M255" s="68"/>
      <c r="N255" s="68"/>
      <c r="O255" s="68"/>
      <c r="P255" s="68"/>
    </row>
    <row r="256" spans="4:16" x14ac:dyDescent="0.25">
      <c r="D256" s="69"/>
      <c r="H256" s="68"/>
      <c r="I256" s="68"/>
      <c r="J256" s="68"/>
      <c r="K256" s="68"/>
      <c r="L256" s="68"/>
      <c r="M256" s="68"/>
      <c r="N256" s="68"/>
      <c r="O256" s="68"/>
      <c r="P256" s="68"/>
    </row>
    <row r="257" spans="4:16" x14ac:dyDescent="0.25">
      <c r="D257" s="69"/>
      <c r="H257" s="68"/>
      <c r="I257" s="68"/>
      <c r="J257" s="68"/>
      <c r="K257" s="68"/>
      <c r="L257" s="68"/>
      <c r="M257" s="68"/>
      <c r="N257" s="68"/>
      <c r="O257" s="68"/>
      <c r="P257" s="68"/>
    </row>
    <row r="258" spans="4:16" x14ac:dyDescent="0.25">
      <c r="D258" s="69"/>
      <c r="H258" s="68"/>
      <c r="I258" s="68"/>
      <c r="J258" s="68"/>
      <c r="K258" s="68"/>
      <c r="L258" s="68"/>
      <c r="M258" s="68"/>
      <c r="N258" s="68"/>
      <c r="O258" s="68"/>
      <c r="P258" s="68"/>
    </row>
    <row r="259" spans="4:16" x14ac:dyDescent="0.25">
      <c r="D259" s="69"/>
      <c r="H259" s="68"/>
      <c r="I259" s="68"/>
      <c r="J259" s="68"/>
      <c r="K259" s="68"/>
      <c r="L259" s="68"/>
      <c r="M259" s="68"/>
      <c r="N259" s="68"/>
      <c r="O259" s="68"/>
      <c r="P259" s="68"/>
    </row>
    <row r="260" spans="4:16" x14ac:dyDescent="0.25">
      <c r="D260" s="69"/>
      <c r="H260" s="68"/>
      <c r="I260" s="68"/>
      <c r="J260" s="68"/>
      <c r="K260" s="68"/>
      <c r="L260" s="68"/>
      <c r="M260" s="68"/>
      <c r="N260" s="68"/>
      <c r="O260" s="68"/>
      <c r="P260" s="68"/>
    </row>
    <row r="261" spans="4:16" x14ac:dyDescent="0.25">
      <c r="D261" s="69"/>
      <c r="H261" s="68"/>
      <c r="I261" s="68"/>
      <c r="J261" s="68"/>
      <c r="K261" s="68"/>
      <c r="L261" s="68"/>
      <c r="M261" s="68"/>
      <c r="N261" s="68"/>
      <c r="O261" s="68"/>
      <c r="P261" s="68"/>
    </row>
    <row r="262" spans="4:16" x14ac:dyDescent="0.25">
      <c r="D262" s="69"/>
      <c r="H262" s="68"/>
      <c r="I262" s="68"/>
      <c r="J262" s="68"/>
      <c r="K262" s="68"/>
      <c r="L262" s="68"/>
      <c r="M262" s="68"/>
      <c r="N262" s="68"/>
      <c r="O262" s="68"/>
      <c r="P262" s="68"/>
    </row>
    <row r="263" spans="4:16" x14ac:dyDescent="0.25">
      <c r="D263" s="69"/>
      <c r="H263" s="68"/>
      <c r="I263" s="68"/>
      <c r="J263" s="68"/>
      <c r="K263" s="68"/>
      <c r="L263" s="68"/>
      <c r="M263" s="68"/>
      <c r="N263" s="68"/>
      <c r="O263" s="68"/>
      <c r="P263" s="68"/>
    </row>
    <row r="264" spans="4:16" x14ac:dyDescent="0.25">
      <c r="D264" s="69"/>
      <c r="H264" s="68"/>
      <c r="I264" s="68"/>
      <c r="J264" s="68"/>
      <c r="K264" s="68"/>
      <c r="L264" s="68"/>
      <c r="M264" s="68"/>
      <c r="N264" s="68"/>
      <c r="O264" s="68"/>
      <c r="P264" s="68"/>
    </row>
    <row r="265" spans="4:16" x14ac:dyDescent="0.25">
      <c r="D265" s="69"/>
      <c r="H265" s="68"/>
      <c r="I265" s="68"/>
      <c r="J265" s="68"/>
      <c r="K265" s="68"/>
      <c r="L265" s="68"/>
      <c r="M265" s="68"/>
      <c r="N265" s="68"/>
      <c r="O265" s="68"/>
      <c r="P265" s="68"/>
    </row>
    <row r="266" spans="4:16" x14ac:dyDescent="0.25">
      <c r="D266" s="69"/>
      <c r="H266" s="68"/>
      <c r="I266" s="68"/>
      <c r="J266" s="68"/>
      <c r="K266" s="68"/>
      <c r="L266" s="68"/>
      <c r="M266" s="68"/>
      <c r="N266" s="68"/>
      <c r="O266" s="68"/>
      <c r="P266" s="68"/>
    </row>
    <row r="267" spans="4:16" x14ac:dyDescent="0.25">
      <c r="D267" s="69"/>
      <c r="H267" s="68"/>
      <c r="I267" s="68"/>
      <c r="J267" s="68"/>
      <c r="K267" s="68"/>
      <c r="L267" s="68"/>
      <c r="M267" s="68"/>
      <c r="N267" s="68"/>
      <c r="O267" s="68"/>
      <c r="P267" s="68"/>
    </row>
    <row r="268" spans="4:16" x14ac:dyDescent="0.25">
      <c r="D268" s="69"/>
      <c r="H268" s="68"/>
      <c r="I268" s="68"/>
      <c r="J268" s="68"/>
      <c r="K268" s="68"/>
      <c r="L268" s="68"/>
      <c r="M268" s="68"/>
      <c r="N268" s="68"/>
      <c r="O268" s="68"/>
      <c r="P268" s="68"/>
    </row>
    <row r="269" spans="4:16" x14ac:dyDescent="0.25">
      <c r="D269" s="69"/>
      <c r="H269" s="68"/>
      <c r="I269" s="68"/>
      <c r="J269" s="68"/>
      <c r="K269" s="68"/>
      <c r="L269" s="68"/>
      <c r="M269" s="68"/>
      <c r="N269" s="68"/>
      <c r="O269" s="68"/>
      <c r="P269" s="68"/>
    </row>
    <row r="270" spans="4:16" x14ac:dyDescent="0.25">
      <c r="D270" s="69"/>
      <c r="H270" s="68"/>
      <c r="I270" s="68"/>
      <c r="J270" s="68"/>
      <c r="K270" s="68"/>
      <c r="L270" s="68"/>
      <c r="M270" s="68"/>
      <c r="N270" s="68"/>
      <c r="O270" s="68"/>
      <c r="P270" s="68"/>
    </row>
    <row r="271" spans="4:16" x14ac:dyDescent="0.25">
      <c r="D271" s="69"/>
      <c r="H271" s="68"/>
      <c r="I271" s="68"/>
      <c r="J271" s="68"/>
      <c r="K271" s="68"/>
      <c r="L271" s="68"/>
      <c r="M271" s="68"/>
      <c r="N271" s="68"/>
      <c r="O271" s="68"/>
      <c r="P271" s="68"/>
    </row>
    <row r="272" spans="4:16" x14ac:dyDescent="0.25">
      <c r="D272" s="69"/>
      <c r="H272" s="68"/>
      <c r="I272" s="68"/>
      <c r="J272" s="68"/>
      <c r="K272" s="68"/>
      <c r="L272" s="68"/>
      <c r="M272" s="68"/>
      <c r="N272" s="68"/>
      <c r="O272" s="68"/>
      <c r="P272" s="68"/>
    </row>
    <row r="273" spans="4:16" x14ac:dyDescent="0.25">
      <c r="D273" s="69"/>
      <c r="H273" s="68"/>
      <c r="I273" s="68"/>
      <c r="J273" s="68"/>
      <c r="K273" s="68"/>
      <c r="L273" s="68"/>
      <c r="M273" s="68"/>
      <c r="N273" s="68"/>
      <c r="O273" s="68"/>
      <c r="P273" s="68"/>
    </row>
    <row r="274" spans="4:16" x14ac:dyDescent="0.25">
      <c r="D274" s="69"/>
      <c r="H274" s="68"/>
      <c r="I274" s="68"/>
      <c r="J274" s="68"/>
      <c r="K274" s="68"/>
      <c r="L274" s="68"/>
      <c r="M274" s="68"/>
      <c r="N274" s="68"/>
      <c r="O274" s="68"/>
      <c r="P274" s="68"/>
    </row>
    <row r="275" spans="4:16" x14ac:dyDescent="0.25">
      <c r="D275" s="69"/>
      <c r="H275" s="68"/>
      <c r="I275" s="68"/>
      <c r="J275" s="68"/>
      <c r="K275" s="68"/>
      <c r="L275" s="68"/>
      <c r="M275" s="68"/>
      <c r="N275" s="68"/>
      <c r="O275" s="68"/>
      <c r="P275" s="68"/>
    </row>
    <row r="276" spans="4:16" x14ac:dyDescent="0.25">
      <c r="D276" s="69"/>
      <c r="H276" s="68"/>
      <c r="I276" s="68"/>
      <c r="J276" s="68"/>
      <c r="K276" s="68"/>
      <c r="L276" s="68"/>
      <c r="M276" s="68"/>
      <c r="N276" s="68"/>
      <c r="O276" s="68"/>
      <c r="P276" s="68"/>
    </row>
    <row r="277" spans="4:16" x14ac:dyDescent="0.25">
      <c r="I277" s="68"/>
      <c r="J277" s="68"/>
      <c r="K277" s="68"/>
      <c r="L277" s="68"/>
      <c r="M277" s="68"/>
      <c r="N277" s="68"/>
      <c r="O277" s="68"/>
    </row>
    <row r="278" spans="4:16" x14ac:dyDescent="0.25">
      <c r="I278" s="68"/>
      <c r="J278" s="68"/>
      <c r="K278" s="68"/>
      <c r="L278" s="68"/>
      <c r="M278" s="68"/>
      <c r="N278" s="68"/>
      <c r="O278" s="68"/>
    </row>
  </sheetData>
  <sheetProtection sheet="1" objects="1" scenarios="1" formatColumns="0" formatRows="0"/>
  <mergeCells count="5">
    <mergeCell ref="K1:M1"/>
    <mergeCell ref="N1:P1"/>
    <mergeCell ref="T1:U1"/>
    <mergeCell ref="H1:J1"/>
    <mergeCell ref="F1:G1"/>
  </mergeCells>
  <phoneticPr fontId="6" type="noConversion"/>
  <dataValidations count="8">
    <dataValidation type="list" allowBlank="1" showInputMessage="1" showErrorMessage="1" sqref="F65:F66 F175:F176 F159:F162 F202:F203 F188:F189 F181:F182 F194:F195 F148:F149 F167:F169 F104:F105 F73:F74 F133 F3:F15 F119:F120 F126:F127 F154:F155 F18:F58 F86 F88:F89 F79:F81 F96:F97 F94 F102 F110 F112:F113 F140:F141 F208:F211 G212:G216 F217" xr:uid="{00000000-0002-0000-0200-000000000000}">
      <formula1>Level1agencysaving</formula1>
    </dataValidation>
    <dataValidation type="list" allowBlank="1" showInputMessage="1" showErrorMessage="1" sqref="F75:F78 F98:F101 F82:F85 F106:F109 F163:F166 F190:F193 F177:F180 F16:F17 F67:F72 F90:F93 F87 F95 F103 F111 F114:F118 F134:F139 F121:F125 F150:F153 F156:F158 F142:F147 F170:F174 F183:F187 F196:F201 F204:F207 F128:F132 F59:F64 G3:G211 F212:F216 G217" xr:uid="{00000000-0002-0000-0200-000001000000}">
      <formula1>Level2agencysaving</formula1>
    </dataValidation>
    <dataValidation type="list" allowBlank="1" showInputMessage="1" showErrorMessage="1" sqref="E3:E217" xr:uid="{00000000-0002-0000-0200-000004000000}">
      <formula1>Unit</formula1>
    </dataValidation>
    <dataValidation type="list" allowBlank="1" showInputMessage="1" showErrorMessage="1" sqref="O3:O217 L3:L217 I3:I217" xr:uid="{00000000-0002-0000-0200-000005000000}">
      <formula1>Year</formula1>
    </dataValidation>
    <dataValidation type="list" allowBlank="1" showInputMessage="1" showErrorMessage="1" sqref="R3:R217" xr:uid="{00000000-0002-0000-0200-000006000000}">
      <formula1>RAGassessment</formula1>
    </dataValidation>
    <dataValidation type="list" allowBlank="1" showInputMessage="1" showErrorMessage="1" sqref="B3:B217" xr:uid="{00000000-0002-0000-0200-000007000000}">
      <formula1>Outcomedetail</formula1>
    </dataValidation>
    <dataValidation type="list" allowBlank="1" showInputMessage="1" showErrorMessage="1" sqref="A3:A217" xr:uid="{00000000-0002-0000-0200-000008000000}">
      <formula1>Outcomecategory</formula1>
    </dataValidation>
    <dataValidation type="list" allowBlank="1" showInputMessage="1" showErrorMessage="1" sqref="T3:T216" xr:uid="{FB5DD978-C2A6-4F9F-89D5-7A42942AB3E7}">
      <formula1>Update</formula1>
    </dataValidation>
  </dataValidations>
  <hyperlinks>
    <hyperlink ref="Q12" r:id="rId1" xr:uid="{7CB42126-4C20-4957-8C70-83FAFA01B4E6}"/>
    <hyperlink ref="Q7" r:id="rId2" xr:uid="{3A11D1B2-146A-4D53-A935-1869E361FAE0}"/>
    <hyperlink ref="Q5" r:id="rId3" xr:uid="{09C200ED-3E2F-41FE-BB0C-70140B76EB3A}"/>
    <hyperlink ref="Q4" r:id="rId4" display="Based on 'The Economic and Social Costs of Anti-Social Behaviour: a review' (London School of Economics and Political Science, 2003)" xr:uid="{52BDA761-9A49-45CE-B912-943FD34774DC}"/>
    <hyperlink ref="Q3" r:id="rId5" display="Based on 'The Economic and Social Costs of Anti-Social Behaviour: a review' (London School of Economics and Political Science, 2003)" xr:uid="{A5478A3F-8C41-42C8-9883-54CEE0C95642}"/>
    <hyperlink ref="Q13:Q17" r:id="rId6" display="Sylvia Walby - The Cost of Domestic violence, update (2009), p.8" xr:uid="{C60A490B-FA09-415E-A45C-0DCAE90FC9F5}"/>
    <hyperlink ref="Q17" r:id="rId7" xr:uid="{2C4ED620-98F6-4C8F-A122-DF00BBC16386}"/>
    <hyperlink ref="Q33" r:id="rId8" xr:uid="{7742BD88-6FD5-4D5F-928C-0DD63496882D}"/>
    <hyperlink ref="Q29" r:id="rId9" xr:uid="{FD819BAF-2AC2-4EE2-95D4-5ED9B4E2E80A}"/>
    <hyperlink ref="Q27" r:id="rId10" xr:uid="{291ECE2D-2ED3-4FE8-AB39-4CF6244FD77C}"/>
    <hyperlink ref="Q28" r:id="rId11" xr:uid="{74D272E6-826A-4BFC-BBE3-BA5C9C4E6F85}"/>
    <hyperlink ref="Q32" r:id="rId12" xr:uid="{000167E6-5FCC-4ADD-AE6B-0C61AD426F6A}"/>
    <hyperlink ref="Q34:Q54" r:id="rId13" display="NAO Analysis, based on CIPFA, Home Office, Ministry of Justice and Youth Justice Board Data. Cited in NAO 2011 - The cost of a cohort of offenders to the criminal justice system  p18 fig 8" xr:uid="{0D69CD2D-2047-4D55-8997-BB5AFBB239FA}"/>
    <hyperlink ref="Q211" r:id="rId14" display="Unit Costs in Criminal Justice (Brookes et al, 2013), p.65" xr:uid="{B66501E7-B3CA-4D4B-9B25-0FC5BDFD8786}"/>
    <hyperlink ref="Q216" r:id="rId15" xr:uid="{C19A56A3-8567-49D5-AB75-9E76F44365DB}"/>
    <hyperlink ref="Q18" r:id="rId16" xr:uid="{9A77CFB9-6D9F-42ED-B235-59FBCEE16F89}"/>
    <hyperlink ref="Q8" r:id="rId17" xr:uid="{C64D868F-BC51-4C1B-ACB5-97FBCD7779FB}"/>
    <hyperlink ref="Q9" r:id="rId18" xr:uid="{0A56CF06-DEF9-49EC-93D4-ED4EE09A41C1}"/>
    <hyperlink ref="Q10" r:id="rId19" xr:uid="{CAC4DDC4-1678-4D78-A8AF-43C2040076B0}"/>
    <hyperlink ref="Q11" r:id="rId20" xr:uid="{8C60D843-04D3-42AD-B985-4E4A2A998F88}"/>
    <hyperlink ref="Q19" r:id="rId21" xr:uid="{96C9E5D0-9E26-42E6-A177-EBD221A924E6}"/>
    <hyperlink ref="Q20" r:id="rId22" xr:uid="{D9AB0F20-9099-4BF3-9901-666F4DCF58E9}"/>
    <hyperlink ref="Q21" r:id="rId23" xr:uid="{261F7DCA-338D-4057-8087-BE9C78B0CB76}"/>
    <hyperlink ref="Q22" r:id="rId24" xr:uid="{0EBA62EF-10AD-4133-8F76-01AE2236D45C}"/>
    <hyperlink ref="Q23" r:id="rId25" xr:uid="{B5C2C9C0-D7DA-4009-A63E-8DD9342CDC7D}"/>
    <hyperlink ref="Q24" r:id="rId26" xr:uid="{43164137-17D4-4EC4-A9D6-CE9998AD49F6}"/>
    <hyperlink ref="Q25" r:id="rId27" xr:uid="{2A22679F-C554-4968-8B35-204F94ABFECA}"/>
    <hyperlink ref="Q26" r:id="rId28" xr:uid="{80AB9EEC-24F2-47A8-9503-D53F1FF37BDB}"/>
    <hyperlink ref="Q30" r:id="rId29" xr:uid="{0E1F9F44-E5CF-411A-A4F6-D60D81E8B8D6}"/>
    <hyperlink ref="Q31" r:id="rId30" xr:uid="{08E6DF66-7B3C-41E0-82F5-CFBEFC19F5AA}"/>
    <hyperlink ref="Q6" r:id="rId31" xr:uid="{2DCF3FE0-227C-4DDC-8F2D-85D4A871F9DA}"/>
  </hyperlinks>
  <pageMargins left="0.74803149606299213" right="0.74803149606299213" top="0.98425196850393704" bottom="0.98425196850393704" header="0.51181102362204722" footer="0.51181102362204722"/>
  <pageSetup paperSize="8" scale="44" orientation="landscape" r:id="rId32"/>
  <headerFooter alignWithMargins="0"/>
  <extLst>
    <ext xmlns:x14="http://schemas.microsoft.com/office/spreadsheetml/2009/9/main" uri="{78C0D931-6437-407d-A8EE-F0AAD7539E65}">
      <x14:conditionalFormattings>
        <x14:conditionalFormatting xmlns:xm="http://schemas.microsoft.com/office/excel/2006/main">
          <x14:cfRule type="cellIs" priority="4" operator="between" id="{32B0D7D6-5174-451E-BC35-0EF690CBDB72}">
            <xm:f>Lookups!$T$10</xm:f>
            <xm:f>Lookups!$T$30</xm:f>
            <x14:dxf>
              <font>
                <color auto="1"/>
              </font>
              <fill>
                <patternFill>
                  <bgColor rgb="FFFF0000"/>
                </patternFill>
              </fill>
            </x14:dxf>
          </x14:cfRule>
          <x14:cfRule type="cellIs" priority="5" operator="between" id="{B44787CF-D602-4181-AA8D-CBDB942E8BB3}">
            <xm:f>Lookups!$T$31</xm:f>
            <xm:f>Lookups!$T$35</xm:f>
            <x14:dxf>
              <fill>
                <patternFill>
                  <bgColor rgb="FFFFC000"/>
                </patternFill>
              </fill>
            </x14:dxf>
          </x14:cfRule>
          <x14:cfRule type="cellIs" priority="6" operator="between" id="{B64C06E8-DDD4-4FB6-9A08-9F6F686DD3F0}">
            <xm:f>Lookups!$T$36</xm:f>
            <xm:f>Lookups!$T$40</xm:f>
            <x14:dxf>
              <fill>
                <patternFill>
                  <bgColor rgb="FF92D050"/>
                </patternFill>
              </fill>
            </x14:dxf>
          </x14:cfRule>
          <xm:sqref>L3:L216 O3:O216 I3:I216</xm:sqref>
        </x14:conditionalFormatting>
        <x14:conditionalFormatting xmlns:xm="http://schemas.microsoft.com/office/excel/2006/main">
          <x14:cfRule type="cellIs" priority="1" operator="equal" id="{5F34D54B-37C2-4831-B462-C605B6E0E555}">
            <xm:f>Lookups!$V$12</xm:f>
            <x14:dxf>
              <fill>
                <patternFill>
                  <bgColor rgb="FF92D050"/>
                </patternFill>
              </fill>
            </x14:dxf>
          </x14:cfRule>
          <x14:cfRule type="cellIs" priority="2" operator="equal" id="{0BAE5818-DF34-487A-BA5E-EFB21AE8002D}">
            <xm:f>Lookups!$V$11</xm:f>
            <x14:dxf>
              <fill>
                <patternFill>
                  <bgColor rgb="FFFFC000"/>
                </patternFill>
              </fill>
            </x14:dxf>
          </x14:cfRule>
          <x14:cfRule type="cellIs" priority="3" operator="equal" id="{3A065C2C-D61F-4B28-9574-14BEB641679A}">
            <xm:f>Lookups!$V$10</xm:f>
            <x14:dxf>
              <fill>
                <patternFill>
                  <bgColor rgb="FFFF0000"/>
                </patternFill>
              </fill>
            </x14:dxf>
          </x14:cfRule>
          <xm:sqref>R3:R216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outlinePr summaryBelow="0"/>
  </sheetPr>
  <dimension ref="A1:W147"/>
  <sheetViews>
    <sheetView showGridLines="0" zoomScale="90" zoomScaleNormal="90" workbookViewId="0">
      <pane xSplit="4" ySplit="2" topLeftCell="E3" activePane="bottomRight" state="frozen"/>
      <selection activeCell="R3" sqref="R3:R216"/>
      <selection pane="topRight" activeCell="R3" sqref="R3:R216"/>
      <selection pane="bottomLeft" activeCell="R3" sqref="R3:R216"/>
      <selection pane="bottomRight" activeCell="A3" sqref="A3"/>
    </sheetView>
  </sheetViews>
  <sheetFormatPr defaultColWidth="9" defaultRowHeight="13.2" outlineLevelRow="2" x14ac:dyDescent="0.25"/>
  <cols>
    <col min="1" max="1" width="12.69921875" style="5" customWidth="1"/>
    <col min="2" max="2" width="15.5" style="5" customWidth="1"/>
    <col min="3" max="3" width="8.69921875" style="5" customWidth="1"/>
    <col min="4" max="4" width="43.19921875" style="5" customWidth="1"/>
    <col min="5" max="5" width="15" style="138" customWidth="1"/>
    <col min="6" max="6" width="16" style="5" customWidth="1"/>
    <col min="7" max="7" width="15.69921875" style="5" customWidth="1"/>
    <col min="8" max="8" width="13.69921875" style="5" bestFit="1" customWidth="1"/>
    <col min="9" max="9" width="10" style="5" customWidth="1"/>
    <col min="10" max="11" width="12.5" style="5" bestFit="1" customWidth="1"/>
    <col min="12" max="12" width="10" style="5" customWidth="1"/>
    <col min="13" max="14" width="12.5" style="5" bestFit="1" customWidth="1"/>
    <col min="15" max="15" width="10" style="5" customWidth="1"/>
    <col min="16" max="16" width="12.5" style="5" bestFit="1" customWidth="1"/>
    <col min="17" max="17" width="46.19921875" style="5" customWidth="1"/>
    <col min="18" max="18" width="12.5" style="137" customWidth="1"/>
    <col min="19" max="19" width="78.19921875" style="5" customWidth="1"/>
    <col min="20" max="20" width="10.19921875" style="138" customWidth="1"/>
    <col min="21" max="21" width="20.69921875" style="5" customWidth="1"/>
    <col min="22" max="25" width="9" style="5"/>
    <col min="26" max="26" width="10.69921875" style="5" bestFit="1" customWidth="1"/>
    <col min="27" max="16384" width="9" style="5"/>
  </cols>
  <sheetData>
    <row r="1" spans="1:23" s="47" customFormat="1" ht="31.5"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c r="V1"/>
      <c r="W1"/>
    </row>
    <row r="2" spans="1:23" s="47" customFormat="1" ht="30" customHeight="1" collapsed="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c r="V2"/>
      <c r="W2"/>
    </row>
    <row r="3" spans="1:23" s="36" customFormat="1" ht="60" customHeight="1" collapsed="1" x14ac:dyDescent="0.25">
      <c r="A3" s="38" t="s">
        <v>847</v>
      </c>
      <c r="B3" s="38" t="s">
        <v>227</v>
      </c>
      <c r="C3" s="38" t="s">
        <v>479</v>
      </c>
      <c r="D3" s="38" t="s">
        <v>812</v>
      </c>
      <c r="E3" s="12" t="s">
        <v>626</v>
      </c>
      <c r="F3" s="12" t="s">
        <v>243</v>
      </c>
      <c r="G3" s="12"/>
      <c r="H3" s="14">
        <v>1509</v>
      </c>
      <c r="I3" s="15" t="s">
        <v>191</v>
      </c>
      <c r="J3" s="89">
        <f>IF(H3&gt;0,(H3*VLOOKUP(Lookups!$K$11,Lookups!$M$10:$P$43,4,0)/VLOOKUP(I3,Lookups!$M$10:$P$43,4,0)),"")</f>
        <v>2165.5055919477268</v>
      </c>
      <c r="K3" s="14">
        <v>842</v>
      </c>
      <c r="L3" s="15" t="s">
        <v>191</v>
      </c>
      <c r="M3" s="89">
        <f>IF(K3&gt;0,(K3*VLOOKUP(Lookups!$K$11,Lookups!$M$10:$P$43,4,0)/VLOOKUP(L3,Lookups!$M$10:$P$43,4,0)),"")</f>
        <v>1208.3205489860741</v>
      </c>
      <c r="N3" s="14"/>
      <c r="O3" s="15"/>
      <c r="P3" s="89" t="str">
        <f>IF(N3&gt;0,(N3*VLOOKUP(Lookups!$K$11,Lookups!$M$10:$P$43,4,0)/VLOOKUP(O3,Lookups!$M$10:$P$43,4,0)),"")</f>
        <v/>
      </c>
      <c r="Q3" s="81" t="s">
        <v>3180</v>
      </c>
      <c r="R3" s="88" t="s">
        <v>149</v>
      </c>
      <c r="S3" s="4" t="s">
        <v>1904</v>
      </c>
      <c r="T3" s="176"/>
      <c r="U3" s="4"/>
    </row>
    <row r="4" spans="1:23" s="78" customFormat="1" ht="60" hidden="1" customHeight="1" outlineLevel="2" x14ac:dyDescent="0.25">
      <c r="A4" s="12" t="s">
        <v>847</v>
      </c>
      <c r="B4" s="34" t="s">
        <v>227</v>
      </c>
      <c r="C4" s="34" t="s">
        <v>492</v>
      </c>
      <c r="D4" s="41" t="s">
        <v>813</v>
      </c>
      <c r="E4" s="34" t="s">
        <v>626</v>
      </c>
      <c r="F4" s="34" t="s">
        <v>210</v>
      </c>
      <c r="G4" s="34"/>
      <c r="H4" s="77">
        <v>706</v>
      </c>
      <c r="I4" s="15" t="s">
        <v>191</v>
      </c>
      <c r="J4" s="89">
        <f>IF(H4&gt;0,(H4*VLOOKUP(Lookups!$K$11,Lookups!$M$10:$P$43,4,0)/VLOOKUP(I4,Lookups!$M$10:$P$43,4,0)),"")</f>
        <v>1013.1523843042378</v>
      </c>
      <c r="K4" s="77"/>
      <c r="L4" s="15"/>
      <c r="M4" s="89" t="str">
        <f>IF(K4&gt;0,(K4*VLOOKUP(Lookups!$K$11,Lookups!$M$10:$P$43,4,0)/VLOOKUP(L4,Lookups!$M$10:$P$43,4,0)),"")</f>
        <v/>
      </c>
      <c r="N4" s="77"/>
      <c r="O4" s="15"/>
      <c r="P4" s="89" t="str">
        <f>IF(N4&gt;0,(N4*VLOOKUP(Lookups!$K$11,Lookups!$M$10:$P$43,4,0)/VLOOKUP(O4,Lookups!$M$10:$P$43,4,0)),"")</f>
        <v/>
      </c>
      <c r="Q4" s="81" t="s">
        <v>3180</v>
      </c>
      <c r="R4" s="15" t="s">
        <v>149</v>
      </c>
      <c r="S4" s="49" t="s">
        <v>1905</v>
      </c>
      <c r="T4" s="176"/>
      <c r="U4" s="4"/>
    </row>
    <row r="5" spans="1:23" s="78" customFormat="1" ht="60" hidden="1" customHeight="1" outlineLevel="2" x14ac:dyDescent="0.25">
      <c r="A5" s="12" t="s">
        <v>847</v>
      </c>
      <c r="B5" s="34" t="s">
        <v>227</v>
      </c>
      <c r="C5" s="34" t="s">
        <v>493</v>
      </c>
      <c r="D5" s="41" t="s">
        <v>814</v>
      </c>
      <c r="E5" s="34" t="s">
        <v>626</v>
      </c>
      <c r="F5" s="34" t="s">
        <v>162</v>
      </c>
      <c r="G5" s="34"/>
      <c r="H5" s="77">
        <v>52</v>
      </c>
      <c r="I5" s="15" t="s">
        <v>191</v>
      </c>
      <c r="J5" s="89">
        <f>IF(H5&gt;0,(H5*VLOOKUP(Lookups!$K$11,Lookups!$M$10:$P$43,4,0)/VLOOKUP(I5,Lookups!$M$10:$P$43,4,0)),"")</f>
        <v>74.623121790113828</v>
      </c>
      <c r="K5" s="77"/>
      <c r="L5" s="15"/>
      <c r="M5" s="89" t="str">
        <f>IF(K5&gt;0,(K5*VLOOKUP(Lookups!$K$11,Lookups!$M$10:$P$43,4,0)/VLOOKUP(L5,Lookups!$M$10:$P$43,4,0)),"")</f>
        <v/>
      </c>
      <c r="N5" s="77"/>
      <c r="O5" s="15"/>
      <c r="P5" s="89" t="str">
        <f>IF(N5&gt;0,(N5*VLOOKUP(Lookups!$K$11,Lookups!$M$10:$P$43,4,0)/VLOOKUP(O5,Lookups!$M$10:$P$43,4,0)),"")</f>
        <v/>
      </c>
      <c r="Q5" s="81" t="s">
        <v>3180</v>
      </c>
      <c r="R5" s="15" t="s">
        <v>149</v>
      </c>
      <c r="S5" s="49" t="s">
        <v>1906</v>
      </c>
      <c r="T5" s="176"/>
      <c r="U5" s="4"/>
    </row>
    <row r="6" spans="1:23" s="78" customFormat="1" ht="60" hidden="1" customHeight="1" outlineLevel="2" x14ac:dyDescent="0.25">
      <c r="A6" s="12" t="s">
        <v>847</v>
      </c>
      <c r="B6" s="34" t="s">
        <v>227</v>
      </c>
      <c r="C6" s="34" t="s">
        <v>494</v>
      </c>
      <c r="D6" s="41" t="s">
        <v>815</v>
      </c>
      <c r="E6" s="34" t="s">
        <v>626</v>
      </c>
      <c r="F6" s="34" t="s">
        <v>147</v>
      </c>
      <c r="G6" s="34" t="s">
        <v>632</v>
      </c>
      <c r="H6" s="77">
        <v>423.5</v>
      </c>
      <c r="I6" s="15" t="s">
        <v>191</v>
      </c>
      <c r="J6" s="89">
        <f>IF(H6&gt;0,(H6*VLOOKUP(Lookups!$K$11,Lookups!$M$10:$P$43,4,0)/VLOOKUP(I6,Lookups!$M$10:$P$43,4,0)),"")</f>
        <v>607.74792457910019</v>
      </c>
      <c r="K6" s="77"/>
      <c r="L6" s="15"/>
      <c r="M6" s="89" t="str">
        <f>IF(K6&gt;0,(K6*VLOOKUP(Lookups!$K$11,Lookups!$M$10:$P$43,4,0)/VLOOKUP(L6,Lookups!$M$10:$P$43,4,0)),"")</f>
        <v/>
      </c>
      <c r="N6" s="77"/>
      <c r="O6" s="15"/>
      <c r="P6" s="89" t="str">
        <f>IF(N6&gt;0,(N6*VLOOKUP(Lookups!$K$11,Lookups!$M$10:$P$43,4,0)/VLOOKUP(O6,Lookups!$M$10:$P$43,4,0)),"")</f>
        <v/>
      </c>
      <c r="Q6" s="81" t="s">
        <v>3180</v>
      </c>
      <c r="R6" s="15" t="s">
        <v>149</v>
      </c>
      <c r="S6" s="49" t="s">
        <v>1907</v>
      </c>
      <c r="T6" s="176"/>
      <c r="U6" s="4"/>
    </row>
    <row r="7" spans="1:23" s="78" customFormat="1" ht="60" hidden="1" customHeight="1" outlineLevel="2" x14ac:dyDescent="0.25">
      <c r="A7" s="12" t="s">
        <v>847</v>
      </c>
      <c r="B7" s="34" t="s">
        <v>227</v>
      </c>
      <c r="C7" s="34" t="s">
        <v>495</v>
      </c>
      <c r="D7" s="41" t="s">
        <v>816</v>
      </c>
      <c r="E7" s="34" t="s">
        <v>626</v>
      </c>
      <c r="F7" s="34" t="s">
        <v>210</v>
      </c>
      <c r="G7" s="34"/>
      <c r="H7" s="77">
        <v>327.83333333333331</v>
      </c>
      <c r="I7" s="15" t="s">
        <v>191</v>
      </c>
      <c r="J7" s="89">
        <f>IF(H7&gt;0,(H7*VLOOKUP(Lookups!$K$11,Lookups!$M$10:$P$43,4,0)/VLOOKUP(I7,Lookups!$M$10:$P$43,4,0)),"")</f>
        <v>470.46051461908303</v>
      </c>
      <c r="K7" s="77"/>
      <c r="L7" s="15"/>
      <c r="M7" s="89" t="str">
        <f>IF(K7&gt;0,(K7*VLOOKUP(Lookups!$K$11,Lookups!$M$10:$P$43,4,0)/VLOOKUP(L7,Lookups!$M$10:$P$43,4,0)),"")</f>
        <v/>
      </c>
      <c r="N7" s="77"/>
      <c r="O7" s="15"/>
      <c r="P7" s="89" t="str">
        <f>IF(N7&gt;0,(N7*VLOOKUP(Lookups!$K$11,Lookups!$M$10:$P$43,4,0)/VLOOKUP(O7,Lookups!$M$10:$P$43,4,0)),"")</f>
        <v/>
      </c>
      <c r="Q7" s="81" t="s">
        <v>3180</v>
      </c>
      <c r="R7" s="15" t="s">
        <v>149</v>
      </c>
      <c r="S7" s="49" t="s">
        <v>1908</v>
      </c>
      <c r="T7" s="176"/>
      <c r="U7" s="4"/>
    </row>
    <row r="8" spans="1:23" s="36" customFormat="1" ht="60" customHeight="1" collapsed="1" x14ac:dyDescent="0.25">
      <c r="A8" s="38" t="s">
        <v>847</v>
      </c>
      <c r="B8" s="38" t="s">
        <v>646</v>
      </c>
      <c r="C8" s="38" t="s">
        <v>480</v>
      </c>
      <c r="D8" s="38" t="s">
        <v>908</v>
      </c>
      <c r="E8" s="12" t="s">
        <v>626</v>
      </c>
      <c r="F8" s="12" t="s">
        <v>243</v>
      </c>
      <c r="G8" s="12"/>
      <c r="H8" s="14">
        <v>9219</v>
      </c>
      <c r="I8" s="15" t="s">
        <v>191</v>
      </c>
      <c r="J8" s="89">
        <f>IF(H8&gt;0,(H8*VLOOKUP(Lookups!$K$11,Lookups!$M$10:$P$43,4,0)/VLOOKUP(I8,Lookups!$M$10:$P$43,4,0)),"")</f>
        <v>13229.818457366528</v>
      </c>
      <c r="K8" s="14">
        <v>529</v>
      </c>
      <c r="L8" s="15" t="s">
        <v>191</v>
      </c>
      <c r="M8" s="89">
        <f>IF(K8&gt;0,(K8*VLOOKUP(Lookups!$K$11,Lookups!$M$10:$P$43,4,0)/VLOOKUP(L8,Lookups!$M$10:$P$43,4,0)),"")</f>
        <v>759.1467582109658</v>
      </c>
      <c r="N8" s="14"/>
      <c r="O8" s="15"/>
      <c r="P8" s="89" t="str">
        <f>IF(N8&gt;0,(N8*VLOOKUP(Lookups!$K$11,Lookups!$M$10:$P$43,4,0)/VLOOKUP(O8,Lookups!$M$10:$P$43,4,0)),"")</f>
        <v/>
      </c>
      <c r="Q8" s="81" t="s">
        <v>3180</v>
      </c>
      <c r="R8" s="15" t="s">
        <v>149</v>
      </c>
      <c r="S8" s="4" t="s">
        <v>1909</v>
      </c>
      <c r="T8" s="134"/>
      <c r="U8" s="12"/>
    </row>
    <row r="9" spans="1:23" s="78" customFormat="1" ht="60" hidden="1" customHeight="1" outlineLevel="2" x14ac:dyDescent="0.25">
      <c r="A9" s="12" t="s">
        <v>847</v>
      </c>
      <c r="B9" s="34" t="s">
        <v>646</v>
      </c>
      <c r="C9" s="34" t="s">
        <v>496</v>
      </c>
      <c r="D9" s="41" t="s">
        <v>904</v>
      </c>
      <c r="E9" s="34" t="s">
        <v>626</v>
      </c>
      <c r="F9" s="34" t="s">
        <v>210</v>
      </c>
      <c r="G9" s="34"/>
      <c r="H9" s="77">
        <v>7181</v>
      </c>
      <c r="I9" s="15" t="s">
        <v>191</v>
      </c>
      <c r="J9" s="89">
        <f>IF(H9&gt;0,(H9*VLOOKUP(Lookups!$K$11,Lookups!$M$10:$P$43,4,0)/VLOOKUP(I9,Lookups!$M$10:$P$43,4,0)),"")</f>
        <v>10305.166107207837</v>
      </c>
      <c r="K9" s="77"/>
      <c r="L9" s="15"/>
      <c r="M9" s="89" t="str">
        <f>IF(K9&gt;0,(K9*VLOOKUP(Lookups!$K$11,Lookups!$M$10:$P$43,4,0)/VLOOKUP(L9,Lookups!$M$10:$P$43,4,0)),"")</f>
        <v/>
      </c>
      <c r="N9" s="77"/>
      <c r="O9" s="15"/>
      <c r="P9" s="89" t="str">
        <f>IF(N9&gt;0,(N9*VLOOKUP(Lookups!$K$11,Lookups!$M$10:$P$43,4,0)/VLOOKUP(O9,Lookups!$M$10:$P$43,4,0)),"")</f>
        <v/>
      </c>
      <c r="Q9" s="81" t="s">
        <v>3180</v>
      </c>
      <c r="R9" s="15" t="s">
        <v>149</v>
      </c>
      <c r="S9" s="49" t="s">
        <v>1905</v>
      </c>
      <c r="T9" s="180"/>
      <c r="U9" s="34"/>
    </row>
    <row r="10" spans="1:23" s="78" customFormat="1" ht="60" hidden="1" customHeight="1" outlineLevel="2" x14ac:dyDescent="0.25">
      <c r="A10" s="12" t="s">
        <v>847</v>
      </c>
      <c r="B10" s="34" t="s">
        <v>646</v>
      </c>
      <c r="C10" s="34" t="s">
        <v>497</v>
      </c>
      <c r="D10" s="41" t="s">
        <v>905</v>
      </c>
      <c r="E10" s="34" t="s">
        <v>626</v>
      </c>
      <c r="F10" s="34" t="s">
        <v>162</v>
      </c>
      <c r="G10" s="34"/>
      <c r="H10" s="77">
        <v>63.6875</v>
      </c>
      <c r="I10" s="15" t="s">
        <v>191</v>
      </c>
      <c r="J10" s="89">
        <f>IF(H10&gt;0,(H10*VLOOKUP(Lookups!$K$11,Lookups!$M$10:$P$43,4,0)/VLOOKUP(I10,Lookups!$M$10:$P$43,4,0)),"")</f>
        <v>91.395385942459129</v>
      </c>
      <c r="K10" s="77"/>
      <c r="L10" s="15"/>
      <c r="M10" s="89" t="str">
        <f>IF(K10&gt;0,(K10*VLOOKUP(Lookups!$K$11,Lookups!$M$10:$P$43,4,0)/VLOOKUP(L10,Lookups!$M$10:$P$43,4,0)),"")</f>
        <v/>
      </c>
      <c r="N10" s="77"/>
      <c r="O10" s="15"/>
      <c r="P10" s="89" t="str">
        <f>IF(N10&gt;0,(N10*VLOOKUP(Lookups!$K$11,Lookups!$M$10:$P$43,4,0)/VLOOKUP(O10,Lookups!$M$10:$P$43,4,0)),"")</f>
        <v/>
      </c>
      <c r="Q10" s="81" t="s">
        <v>3180</v>
      </c>
      <c r="R10" s="15" t="s">
        <v>149</v>
      </c>
      <c r="S10" s="49" t="s">
        <v>1910</v>
      </c>
      <c r="T10" s="180"/>
      <c r="U10" s="34"/>
    </row>
    <row r="11" spans="1:23" s="78" customFormat="1" ht="60" hidden="1" customHeight="1" outlineLevel="2" x14ac:dyDescent="0.25">
      <c r="A11" s="12" t="s">
        <v>847</v>
      </c>
      <c r="B11" s="34" t="s">
        <v>646</v>
      </c>
      <c r="C11" s="34" t="s">
        <v>498</v>
      </c>
      <c r="D11" s="41" t="s">
        <v>906</v>
      </c>
      <c r="E11" s="34" t="s">
        <v>626</v>
      </c>
      <c r="F11" s="34" t="s">
        <v>147</v>
      </c>
      <c r="G11" s="34" t="s">
        <v>632</v>
      </c>
      <c r="H11" s="77">
        <v>970.4375</v>
      </c>
      <c r="I11" s="15" t="s">
        <v>191</v>
      </c>
      <c r="J11" s="89">
        <f>IF(H11&gt;0,(H11*VLOOKUP(Lookups!$K$11,Lookups!$M$10:$P$43,4,0)/VLOOKUP(I11,Lookups!$M$10:$P$43,4,0)),"")</f>
        <v>1392.6360721575693</v>
      </c>
      <c r="K11" s="77"/>
      <c r="L11" s="15"/>
      <c r="M11" s="89" t="str">
        <f>IF(K11&gt;0,(K11*VLOOKUP(Lookups!$K$11,Lookups!$M$10:$P$43,4,0)/VLOOKUP(L11,Lookups!$M$10:$P$43,4,0)),"")</f>
        <v/>
      </c>
      <c r="N11" s="77"/>
      <c r="O11" s="15"/>
      <c r="P11" s="89" t="str">
        <f>IF(N11&gt;0,(N11*VLOOKUP(Lookups!$K$11,Lookups!$M$10:$P$43,4,0)/VLOOKUP(O11,Lookups!$M$10:$P$43,4,0)),"")</f>
        <v/>
      </c>
      <c r="Q11" s="81" t="s">
        <v>3180</v>
      </c>
      <c r="R11" s="15" t="s">
        <v>149</v>
      </c>
      <c r="S11" s="49" t="s">
        <v>1911</v>
      </c>
      <c r="T11" s="180"/>
      <c r="U11" s="34"/>
    </row>
    <row r="12" spans="1:23" s="78" customFormat="1" ht="60" hidden="1" customHeight="1" outlineLevel="2" x14ac:dyDescent="0.25">
      <c r="A12" s="12" t="s">
        <v>847</v>
      </c>
      <c r="B12" s="34" t="s">
        <v>646</v>
      </c>
      <c r="C12" s="34" t="s">
        <v>499</v>
      </c>
      <c r="D12" s="41" t="s">
        <v>907</v>
      </c>
      <c r="E12" s="34" t="s">
        <v>626</v>
      </c>
      <c r="F12" s="34" t="s">
        <v>210</v>
      </c>
      <c r="G12" s="34"/>
      <c r="H12" s="77">
        <v>1003.5</v>
      </c>
      <c r="I12" s="15" t="s">
        <v>191</v>
      </c>
      <c r="J12" s="89">
        <f>IF(H12&gt;0,(H12*VLOOKUP(Lookups!$K$11,Lookups!$M$10:$P$43,4,0)/VLOOKUP(I12,Lookups!$M$10:$P$43,4,0)),"")</f>
        <v>1440.0827445457546</v>
      </c>
      <c r="K12" s="77"/>
      <c r="L12" s="15"/>
      <c r="M12" s="89" t="str">
        <f>IF(K12&gt;0,(K12*VLOOKUP(Lookups!$K$11,Lookups!$M$10:$P$43,4,0)/VLOOKUP(L12,Lookups!$M$10:$P$43,4,0)),"")</f>
        <v/>
      </c>
      <c r="N12" s="77"/>
      <c r="O12" s="15"/>
      <c r="P12" s="89" t="str">
        <f>IF(N12&gt;0,(N12*VLOOKUP(Lookups!$K$11,Lookups!$M$10:$P$43,4,0)/VLOOKUP(O12,Lookups!$M$10:$P$43,4,0)),"")</f>
        <v/>
      </c>
      <c r="Q12" s="81" t="s">
        <v>3180</v>
      </c>
      <c r="R12" s="15" t="s">
        <v>149</v>
      </c>
      <c r="S12" s="49" t="s">
        <v>1912</v>
      </c>
      <c r="T12" s="180"/>
      <c r="U12" s="34"/>
    </row>
    <row r="13" spans="1:23" s="36" customFormat="1" ht="60" customHeight="1" collapsed="1" x14ac:dyDescent="0.25">
      <c r="A13" s="38" t="s">
        <v>847</v>
      </c>
      <c r="B13" s="38" t="s">
        <v>238</v>
      </c>
      <c r="C13" s="38" t="s">
        <v>481</v>
      </c>
      <c r="D13" s="38" t="s">
        <v>817</v>
      </c>
      <c r="E13" s="12" t="s">
        <v>818</v>
      </c>
      <c r="F13" s="12" t="s">
        <v>78</v>
      </c>
      <c r="G13" s="12" t="s">
        <v>697</v>
      </c>
      <c r="H13" s="14">
        <v>132</v>
      </c>
      <c r="I13" s="15" t="s">
        <v>195</v>
      </c>
      <c r="J13" s="89">
        <f>IF(H13&gt;0,(H13*VLOOKUP(Lookups!$K$11,Lookups!$M$10:$P$43,4,0)/VLOOKUP(I13,Lookups!$M$10:$P$43,4,0)),"")</f>
        <v>171.13098586189469</v>
      </c>
      <c r="K13" s="14"/>
      <c r="L13" s="15"/>
      <c r="M13" s="89" t="str">
        <f>IF(K13&gt;0,(K13*VLOOKUP(Lookups!$K$11,Lookups!$M$10:$P$43,4,0)/VLOOKUP(L13,Lookups!$M$10:$P$43,4,0)),"")</f>
        <v/>
      </c>
      <c r="N13" s="14"/>
      <c r="O13" s="15"/>
      <c r="P13" s="89" t="str">
        <f>IF(N13&gt;0,(N13*VLOOKUP(Lookups!$K$11,Lookups!$M$10:$P$43,4,0)/VLOOKUP(O13,Lookups!$M$10:$P$43,4,0)),"")</f>
        <v/>
      </c>
      <c r="Q13" s="81" t="s">
        <v>819</v>
      </c>
      <c r="R13" s="15" t="s">
        <v>149</v>
      </c>
      <c r="S13" s="12" t="s">
        <v>820</v>
      </c>
      <c r="T13" s="134"/>
      <c r="U13" s="12"/>
    </row>
    <row r="14" spans="1:23" s="78" customFormat="1" ht="60" hidden="1" customHeight="1" outlineLevel="1" x14ac:dyDescent="0.25">
      <c r="A14" s="42" t="s">
        <v>847</v>
      </c>
      <c r="B14" s="42" t="s">
        <v>238</v>
      </c>
      <c r="C14" s="42" t="s">
        <v>2090</v>
      </c>
      <c r="D14" s="42" t="s">
        <v>909</v>
      </c>
      <c r="E14" s="34" t="s">
        <v>106</v>
      </c>
      <c r="F14" s="34" t="s">
        <v>147</v>
      </c>
      <c r="G14" s="34" t="s">
        <v>201</v>
      </c>
      <c r="H14" s="77">
        <v>3206</v>
      </c>
      <c r="I14" s="15" t="s">
        <v>195</v>
      </c>
      <c r="J14" s="89">
        <f>IF(H14&gt;0,(H14*VLOOKUP(Lookups!$K$11,Lookups!$M$10:$P$43,4,0)/VLOOKUP(I14,Lookups!$M$10:$P$43,4,0)),"")</f>
        <v>4156.4086414638969</v>
      </c>
      <c r="K14" s="77">
        <v>6958</v>
      </c>
      <c r="L14" s="15" t="s">
        <v>195</v>
      </c>
      <c r="M14" s="89">
        <f>IF(K14&gt;0,(K14*VLOOKUP(Lookups!$K$11,Lookups!$M$10:$P$43,4,0)/VLOOKUP(L14,Lookups!$M$10:$P$43,4,0)),"")</f>
        <v>9020.6772699019948</v>
      </c>
      <c r="N14" s="77"/>
      <c r="O14" s="15"/>
      <c r="P14" s="89" t="str">
        <f>IF(N14&gt;0,(N14*VLOOKUP(Lookups!$K$11,Lookups!$M$10:$P$43,4,0)/VLOOKUP(O14,Lookups!$M$10:$P$43,4,0)),"")</f>
        <v/>
      </c>
      <c r="Q14" s="82" t="s">
        <v>107</v>
      </c>
      <c r="R14" s="15" t="s">
        <v>149</v>
      </c>
      <c r="S14" s="34" t="s">
        <v>1130</v>
      </c>
      <c r="T14" s="134"/>
      <c r="U14" s="12"/>
    </row>
    <row r="15" spans="1:23" s="78" customFormat="1" ht="60" hidden="1" customHeight="1" outlineLevel="2" x14ac:dyDescent="0.25">
      <c r="A15" s="34" t="s">
        <v>847</v>
      </c>
      <c r="B15" s="34" t="s">
        <v>238</v>
      </c>
      <c r="C15" s="34" t="s">
        <v>2091</v>
      </c>
      <c r="D15" s="41" t="s">
        <v>329</v>
      </c>
      <c r="E15" s="34" t="s">
        <v>106</v>
      </c>
      <c r="F15" s="34" t="s">
        <v>147</v>
      </c>
      <c r="G15" s="34" t="s">
        <v>201</v>
      </c>
      <c r="H15" s="77">
        <v>1849</v>
      </c>
      <c r="I15" s="15" t="s">
        <v>195</v>
      </c>
      <c r="J15" s="89">
        <f>IF(H15&gt;0,(H15*VLOOKUP(Lookups!$K$11,Lookups!$M$10:$P$43,4,0)/VLOOKUP(I15,Lookups!$M$10:$P$43,4,0)),"")</f>
        <v>2397.1302489291156</v>
      </c>
      <c r="K15" s="77"/>
      <c r="L15" s="15"/>
      <c r="M15" s="89" t="str">
        <f>IF(K15&gt;0,(K15*VLOOKUP(Lookups!$K$11,Lookups!$M$10:$P$43,4,0)/VLOOKUP(L15,Lookups!$M$10:$P$43,4,0)),"")</f>
        <v/>
      </c>
      <c r="N15" s="77"/>
      <c r="O15" s="15"/>
      <c r="P15" s="89" t="str">
        <f>IF(N15&gt;0,(N15*VLOOKUP(Lookups!$K$11,Lookups!$M$10:$P$43,4,0)/VLOOKUP(O15,Lookups!$M$10:$P$43,4,0)),"")</f>
        <v/>
      </c>
      <c r="Q15" s="82" t="s">
        <v>107</v>
      </c>
      <c r="R15" s="15" t="s">
        <v>149</v>
      </c>
      <c r="S15" s="34" t="s">
        <v>417</v>
      </c>
      <c r="T15" s="180"/>
      <c r="U15" s="34"/>
    </row>
    <row r="16" spans="1:23" s="78" customFormat="1" ht="60" hidden="1" customHeight="1" outlineLevel="2" x14ac:dyDescent="0.25">
      <c r="A16" s="34" t="s">
        <v>847</v>
      </c>
      <c r="B16" s="34" t="s">
        <v>238</v>
      </c>
      <c r="C16" s="34" t="s">
        <v>2092</v>
      </c>
      <c r="D16" s="41" t="s">
        <v>748</v>
      </c>
      <c r="E16" s="34" t="s">
        <v>106</v>
      </c>
      <c r="F16" s="34" t="s">
        <v>162</v>
      </c>
      <c r="G16" s="34" t="s">
        <v>704</v>
      </c>
      <c r="H16" s="77">
        <v>1148</v>
      </c>
      <c r="I16" s="15" t="s">
        <v>195</v>
      </c>
      <c r="J16" s="89">
        <f>IF(H16&gt;0,(H16*VLOOKUP(Lookups!$K$11,Lookups!$M$10:$P$43,4,0)/VLOOKUP(I16,Lookups!$M$10:$P$43,4,0)),"")</f>
        <v>1488.3209982534479</v>
      </c>
      <c r="K16" s="77"/>
      <c r="L16" s="15"/>
      <c r="M16" s="89" t="str">
        <f>IF(K16&gt;0,(K16*VLOOKUP(Lookups!$K$11,Lookups!$M$10:$P$43,4,0)/VLOOKUP(L16,Lookups!$M$10:$P$43,4,0)),"")</f>
        <v/>
      </c>
      <c r="N16" s="77"/>
      <c r="O16" s="15"/>
      <c r="P16" s="89" t="str">
        <f>IF(N16&gt;0,(N16*VLOOKUP(Lookups!$K$11,Lookups!$M$10:$P$43,4,0)/VLOOKUP(O16,Lookups!$M$10:$P$43,4,0)),"")</f>
        <v/>
      </c>
      <c r="Q16" s="82" t="s">
        <v>107</v>
      </c>
      <c r="R16" s="15" t="s">
        <v>149</v>
      </c>
      <c r="S16" s="34" t="s">
        <v>421</v>
      </c>
      <c r="T16" s="180"/>
      <c r="U16" s="34"/>
    </row>
    <row r="17" spans="1:21" s="78" customFormat="1" ht="60" hidden="1" customHeight="1" outlineLevel="2" x14ac:dyDescent="0.25">
      <c r="A17" s="34" t="s">
        <v>847</v>
      </c>
      <c r="B17" s="34" t="s">
        <v>238</v>
      </c>
      <c r="C17" s="34" t="s">
        <v>2093</v>
      </c>
      <c r="D17" s="41" t="s">
        <v>422</v>
      </c>
      <c r="E17" s="34" t="s">
        <v>106</v>
      </c>
      <c r="F17" s="34" t="s">
        <v>697</v>
      </c>
      <c r="G17" s="34" t="s">
        <v>78</v>
      </c>
      <c r="H17" s="77">
        <v>186</v>
      </c>
      <c r="I17" s="15" t="s">
        <v>195</v>
      </c>
      <c r="J17" s="89">
        <f>IF(H17&gt;0,(H17*VLOOKUP(Lookups!$K$11,Lookups!$M$10:$P$43,4,0)/VLOOKUP(I17,Lookups!$M$10:$P$43,4,0)),"")</f>
        <v>241.13911644176071</v>
      </c>
      <c r="K17" s="77"/>
      <c r="L17" s="15"/>
      <c r="M17" s="89" t="str">
        <f>IF(K17&gt;0,(K17*VLOOKUP(Lookups!$K$11,Lookups!$M$10:$P$43,4,0)/VLOOKUP(L17,Lookups!$M$10:$P$43,4,0)),"")</f>
        <v/>
      </c>
      <c r="N17" s="77"/>
      <c r="O17" s="15"/>
      <c r="P17" s="89" t="str">
        <f>IF(N17&gt;0,(N17*VLOOKUP(Lookups!$K$11,Lookups!$M$10:$P$43,4,0)/VLOOKUP(O17,Lookups!$M$10:$P$43,4,0)),"")</f>
        <v/>
      </c>
      <c r="Q17" s="82" t="s">
        <v>107</v>
      </c>
      <c r="R17" s="15" t="s">
        <v>149</v>
      </c>
      <c r="S17" s="34" t="s">
        <v>423</v>
      </c>
      <c r="T17" s="180"/>
      <c r="U17" s="34"/>
    </row>
    <row r="18" spans="1:21" s="78" customFormat="1" ht="60" hidden="1" customHeight="1" outlineLevel="2" x14ac:dyDescent="0.25">
      <c r="A18" s="34" t="s">
        <v>847</v>
      </c>
      <c r="B18" s="34" t="s">
        <v>238</v>
      </c>
      <c r="C18" s="34" t="s">
        <v>2094</v>
      </c>
      <c r="D18" s="41" t="s">
        <v>424</v>
      </c>
      <c r="E18" s="34" t="s">
        <v>106</v>
      </c>
      <c r="F18" s="34" t="s">
        <v>210</v>
      </c>
      <c r="G18" s="34" t="s">
        <v>631</v>
      </c>
      <c r="H18" s="77">
        <v>23</v>
      </c>
      <c r="I18" s="15" t="s">
        <v>195</v>
      </c>
      <c r="J18" s="89">
        <f>IF(H18&gt;0,(H18*VLOOKUP(Lookups!$K$11,Lookups!$M$10:$P$43,4,0)/VLOOKUP(I18,Lookups!$M$10:$P$43,4,0)),"")</f>
        <v>29.818277839572563</v>
      </c>
      <c r="K18" s="77"/>
      <c r="L18" s="15"/>
      <c r="M18" s="89" t="str">
        <f>IF(K18&gt;0,(K18*VLOOKUP(Lookups!$K$11,Lookups!$M$10:$P$43,4,0)/VLOOKUP(L18,Lookups!$M$10:$P$43,4,0)),"")</f>
        <v/>
      </c>
      <c r="N18" s="77"/>
      <c r="O18" s="15"/>
      <c r="P18" s="89" t="str">
        <f>IF(N18&gt;0,(N18*VLOOKUP(Lookups!$K$11,Lookups!$M$10:$P$43,4,0)/VLOOKUP(O18,Lookups!$M$10:$P$43,4,0)),"")</f>
        <v/>
      </c>
      <c r="Q18" s="82" t="s">
        <v>107</v>
      </c>
      <c r="R18" s="15" t="s">
        <v>149</v>
      </c>
      <c r="S18" s="34" t="s">
        <v>133</v>
      </c>
      <c r="T18" s="180"/>
      <c r="U18" s="34"/>
    </row>
    <row r="19" spans="1:21" s="36" customFormat="1" ht="60" customHeight="1" collapsed="1" x14ac:dyDescent="0.25">
      <c r="A19" s="38" t="s">
        <v>847</v>
      </c>
      <c r="B19" s="38" t="s">
        <v>60</v>
      </c>
      <c r="C19" s="38" t="s">
        <v>482</v>
      </c>
      <c r="D19" s="38" t="s">
        <v>2340</v>
      </c>
      <c r="E19" s="12" t="s">
        <v>263</v>
      </c>
      <c r="F19" s="12" t="s">
        <v>198</v>
      </c>
      <c r="G19" s="12"/>
      <c r="H19" s="14"/>
      <c r="I19" s="15"/>
      <c r="J19" s="89" t="str">
        <f>IF(H19&gt;0,(H19*VLOOKUP(Lookups!$K$11,Lookups!$M$10:$P$43,4,0)/VLOOKUP(I19,Lookups!$M$10:$P$43,4,0)),"")</f>
        <v/>
      </c>
      <c r="K19" s="14">
        <v>8566</v>
      </c>
      <c r="L19" s="15" t="s">
        <v>261</v>
      </c>
      <c r="M19" s="89">
        <f>IF(K19&gt;0,(K19*VLOOKUP(Lookups!$K$11,Lookups!$M$10:$P$43,4,0)/VLOOKUP(L19,Lookups!$M$10:$P$43,4,0)),"")</f>
        <v>9337.1954292394821</v>
      </c>
      <c r="N19" s="14"/>
      <c r="O19" s="15"/>
      <c r="P19" s="89" t="str">
        <f>IF(N19&gt;0,(N19*VLOOKUP(Lookups!$K$11,Lookups!$M$10:$P$43,4,0)/VLOOKUP(O19,Lookups!$M$10:$P$43,4,0)),"")</f>
        <v/>
      </c>
      <c r="Q19" s="81" t="s">
        <v>2355</v>
      </c>
      <c r="R19" s="15" t="s">
        <v>154</v>
      </c>
      <c r="S19" s="12" t="s">
        <v>2339</v>
      </c>
      <c r="T19" s="134" t="s">
        <v>922</v>
      </c>
      <c r="U19" s="160" t="s">
        <v>2294</v>
      </c>
    </row>
    <row r="20" spans="1:21" s="78" customFormat="1" ht="60" hidden="1" customHeight="1" outlineLevel="1" x14ac:dyDescent="0.25">
      <c r="A20" s="42" t="s">
        <v>847</v>
      </c>
      <c r="B20" s="42" t="s">
        <v>60</v>
      </c>
      <c r="C20" s="42" t="s">
        <v>2295</v>
      </c>
      <c r="D20" s="42" t="s">
        <v>2337</v>
      </c>
      <c r="E20" s="12" t="s">
        <v>263</v>
      </c>
      <c r="F20" s="12" t="s">
        <v>198</v>
      </c>
      <c r="G20" s="12"/>
      <c r="H20" s="77"/>
      <c r="I20" s="15"/>
      <c r="J20" s="89"/>
      <c r="K20" s="77">
        <v>9234</v>
      </c>
      <c r="L20" s="15" t="s">
        <v>261</v>
      </c>
      <c r="M20" s="89">
        <f>IF(K20&gt;0,(K20*VLOOKUP(Lookups!$K$11,Lookups!$M$10:$P$43,4,0)/VLOOKUP(L20,Lookups!$M$10:$P$43,4,0)),"")</f>
        <v>10065.335348306955</v>
      </c>
      <c r="N20" s="77"/>
      <c r="O20" s="15"/>
      <c r="P20" s="89" t="str">
        <f>IF(N20&gt;0,(N20*VLOOKUP(Lookups!$K$11,Lookups!$M$10:$P$43,4,0)/VLOOKUP(O20,Lookups!$M$10:$P$43,4,0)),"")</f>
        <v/>
      </c>
      <c r="Q20" s="81" t="s">
        <v>2355</v>
      </c>
      <c r="R20" s="15" t="s">
        <v>154</v>
      </c>
      <c r="S20" s="12" t="s">
        <v>2341</v>
      </c>
      <c r="T20" s="134" t="s">
        <v>922</v>
      </c>
      <c r="U20" s="160" t="s">
        <v>2294</v>
      </c>
    </row>
    <row r="21" spans="1:21" s="78" customFormat="1" ht="60" hidden="1" customHeight="1" outlineLevel="1" x14ac:dyDescent="0.25">
      <c r="A21" s="42" t="s">
        <v>847</v>
      </c>
      <c r="B21" s="42" t="s">
        <v>60</v>
      </c>
      <c r="C21" s="42" t="s">
        <v>2296</v>
      </c>
      <c r="D21" s="42" t="s">
        <v>2338</v>
      </c>
      <c r="E21" s="12" t="s">
        <v>263</v>
      </c>
      <c r="F21" s="12" t="s">
        <v>198</v>
      </c>
      <c r="G21" s="12"/>
      <c r="H21" s="77"/>
      <c r="I21" s="15"/>
      <c r="J21" s="89"/>
      <c r="K21" s="77">
        <v>7856</v>
      </c>
      <c r="L21" s="15" t="s">
        <v>261</v>
      </c>
      <c r="M21" s="89">
        <f>IF(K21&gt;0,(K21*VLOOKUP(Lookups!$K$11,Lookups!$M$10:$P$43,4,0)/VLOOKUP(L21,Lookups!$M$10:$P$43,4,0)),"")</f>
        <v>8563.2742577755507</v>
      </c>
      <c r="N21" s="77"/>
      <c r="O21" s="15"/>
      <c r="P21" s="89" t="str">
        <f>IF(N21&gt;0,(N21*VLOOKUP(Lookups!$K$11,Lookups!$M$10:$P$43,4,0)/VLOOKUP(O21,Lookups!$M$10:$P$43,4,0)),"")</f>
        <v/>
      </c>
      <c r="Q21" s="81" t="s">
        <v>2355</v>
      </c>
      <c r="R21" s="15" t="s">
        <v>154</v>
      </c>
      <c r="S21" s="12" t="s">
        <v>2342</v>
      </c>
      <c r="T21" s="134" t="s">
        <v>922</v>
      </c>
      <c r="U21" s="160" t="s">
        <v>2294</v>
      </c>
    </row>
    <row r="22" spans="1:21" s="36" customFormat="1" ht="60" customHeight="1" x14ac:dyDescent="0.25">
      <c r="A22" s="38" t="s">
        <v>847</v>
      </c>
      <c r="B22" s="38" t="s">
        <v>60</v>
      </c>
      <c r="C22" s="38" t="s">
        <v>483</v>
      </c>
      <c r="D22" s="38" t="s">
        <v>910</v>
      </c>
      <c r="E22" s="12" t="s">
        <v>626</v>
      </c>
      <c r="F22" s="12" t="s">
        <v>198</v>
      </c>
      <c r="G22" s="12"/>
      <c r="H22" s="14">
        <f>3308/40</f>
        <v>82.7</v>
      </c>
      <c r="I22" s="15" t="s">
        <v>196</v>
      </c>
      <c r="J22" s="89">
        <f>IF(H22&gt;0,(H22*VLOOKUP(Lookups!$K$11,Lookups!$M$10:$P$43,4,0)/VLOOKUP(I22,Lookups!$M$10:$P$43,4,0)),"")</f>
        <v>105.45755307949695</v>
      </c>
      <c r="K22" s="14">
        <v>443</v>
      </c>
      <c r="L22" s="15" t="s">
        <v>196</v>
      </c>
      <c r="M22" s="89">
        <f>IF(K22&gt;0,(K22*VLOOKUP(Lookups!$K$11,Lookups!$M$10:$P$43,4,0)/VLOOKUP(L22,Lookups!$M$10:$P$43,4,0)),"")</f>
        <v>564.90563499657981</v>
      </c>
      <c r="N22" s="14"/>
      <c r="O22" s="15"/>
      <c r="P22" s="89" t="str">
        <f>IF(N22&gt;0,(N22*VLOOKUP(Lookups!$K$11,Lookups!$M$10:$P$43,4,0)/VLOOKUP(O22,Lookups!$M$10:$P$43,4,0)),"")</f>
        <v/>
      </c>
      <c r="Q22" s="143" t="s">
        <v>3181</v>
      </c>
      <c r="R22" s="15" t="s">
        <v>149</v>
      </c>
      <c r="S22" s="12" t="s">
        <v>1913</v>
      </c>
      <c r="T22" s="134"/>
      <c r="U22" s="12"/>
    </row>
    <row r="23" spans="1:21" s="36" customFormat="1" ht="60" customHeight="1" x14ac:dyDescent="0.25">
      <c r="A23" s="38" t="s">
        <v>847</v>
      </c>
      <c r="B23" s="38" t="s">
        <v>60</v>
      </c>
      <c r="C23" s="38" t="s">
        <v>484</v>
      </c>
      <c r="D23" s="38" t="s">
        <v>911</v>
      </c>
      <c r="E23" s="12" t="s">
        <v>626</v>
      </c>
      <c r="F23" s="12" t="s">
        <v>198</v>
      </c>
      <c r="G23" s="12"/>
      <c r="H23" s="14">
        <f>25633/40</f>
        <v>640.82500000000005</v>
      </c>
      <c r="I23" s="15" t="s">
        <v>196</v>
      </c>
      <c r="J23" s="89">
        <f>IF(H23&gt;0,(H23*VLOOKUP(Lookups!$K$11,Lookups!$M$10:$P$43,4,0)/VLOOKUP(I23,Lookups!$M$10:$P$43,4,0)),"")</f>
        <v>817.16851816407063</v>
      </c>
      <c r="K23" s="77">
        <f>42353/40</f>
        <v>1058.825</v>
      </c>
      <c r="L23" s="15" t="s">
        <v>196</v>
      </c>
      <c r="M23" s="89">
        <f>IF(K23&gt;0,(K23*VLOOKUP(Lookups!$K$11,Lookups!$M$10:$P$43,4,0)/VLOOKUP(L23,Lookups!$M$10:$P$43,4,0)),"")</f>
        <v>1350.1946026529429</v>
      </c>
      <c r="N23" s="14"/>
      <c r="O23" s="15"/>
      <c r="P23" s="89" t="str">
        <f>IF(N23&gt;0,(N23*VLOOKUP(Lookups!$K$11,Lookups!$M$10:$P$43,4,0)/VLOOKUP(O23,Lookups!$M$10:$P$43,4,0)),"")</f>
        <v/>
      </c>
      <c r="Q23" s="143" t="s">
        <v>3181</v>
      </c>
      <c r="R23" s="15" t="s">
        <v>149</v>
      </c>
      <c r="S23" s="12" t="s">
        <v>1914</v>
      </c>
      <c r="T23" s="134"/>
      <c r="U23" s="12"/>
    </row>
    <row r="24" spans="1:21" s="36" customFormat="1" ht="60" customHeight="1" x14ac:dyDescent="0.25">
      <c r="A24" s="38" t="s">
        <v>847</v>
      </c>
      <c r="B24" s="38" t="s">
        <v>60</v>
      </c>
      <c r="C24" s="38" t="s">
        <v>485</v>
      </c>
      <c r="D24" s="38" t="s">
        <v>912</v>
      </c>
      <c r="E24" s="12" t="s">
        <v>626</v>
      </c>
      <c r="F24" s="12" t="s">
        <v>198</v>
      </c>
      <c r="G24" s="12"/>
      <c r="H24" s="14">
        <f>19748/40</f>
        <v>493.7</v>
      </c>
      <c r="I24" s="15" t="s">
        <v>196</v>
      </c>
      <c r="J24" s="89">
        <f>IF(H24&gt;0,(H24*VLOOKUP(Lookups!$K$11,Lookups!$M$10:$P$43,4,0)/VLOOKUP(I24,Lookups!$M$10:$P$43,4,0)),"")</f>
        <v>629.55736342621094</v>
      </c>
      <c r="K24" s="14">
        <v>878</v>
      </c>
      <c r="L24" s="15" t="s">
        <v>196</v>
      </c>
      <c r="M24" s="89">
        <f>IF(K24&gt;0,(K24*VLOOKUP(Lookups!$K$11,Lookups!$M$10:$P$43,4,0)/VLOOKUP(L24,Lookups!$M$10:$P$43,4,0)),"")</f>
        <v>1119.6098138306932</v>
      </c>
      <c r="N24" s="14"/>
      <c r="O24" s="15"/>
      <c r="P24" s="89" t="str">
        <f>IF(N24&gt;0,(N24*VLOOKUP(Lookups!$K$11,Lookups!$M$10:$P$43,4,0)/VLOOKUP(O24,Lookups!$M$10:$P$43,4,0)),"")</f>
        <v/>
      </c>
      <c r="Q24" s="143" t="s">
        <v>3181</v>
      </c>
      <c r="R24" s="15" t="s">
        <v>149</v>
      </c>
      <c r="S24" s="12" t="s">
        <v>1915</v>
      </c>
      <c r="T24" s="134"/>
      <c r="U24" s="12"/>
    </row>
    <row r="25" spans="1:21" s="36" customFormat="1" ht="60" customHeight="1" x14ac:dyDescent="0.25">
      <c r="A25" s="38" t="s">
        <v>847</v>
      </c>
      <c r="B25" s="38" t="s">
        <v>60</v>
      </c>
      <c r="C25" s="38" t="s">
        <v>486</v>
      </c>
      <c r="D25" s="38" t="s">
        <v>1861</v>
      </c>
      <c r="E25" s="12" t="s">
        <v>263</v>
      </c>
      <c r="F25" s="12" t="s">
        <v>198</v>
      </c>
      <c r="G25" s="12"/>
      <c r="H25" s="14"/>
      <c r="I25" s="15"/>
      <c r="J25" s="89" t="str">
        <f>IF(H25&gt;0,(H25*VLOOKUP(Lookups!$K$11,Lookups!$M$10:$P$43,4,0)/VLOOKUP(I25,Lookups!$M$10:$P$43,4,0)),"")</f>
        <v/>
      </c>
      <c r="K25" s="14">
        <v>138999</v>
      </c>
      <c r="L25" s="15" t="s">
        <v>254</v>
      </c>
      <c r="M25" s="89">
        <f>IF(K25&gt;0,(K25*VLOOKUP(Lookups!$K$11,Lookups!$M$10:$P$43,4,0)/VLOOKUP(L25,Lookups!$M$10:$P$43,4,0)),"")</f>
        <v>171160.22152355846</v>
      </c>
      <c r="N25" s="14"/>
      <c r="O25" s="15"/>
      <c r="P25" s="89" t="str">
        <f>IF(N25&gt;0,(N25*VLOOKUP(Lookups!$K$11,Lookups!$M$10:$P$43,4,0)/VLOOKUP(O25,Lookups!$M$10:$P$43,4,0)),"")</f>
        <v/>
      </c>
      <c r="Q25" s="81" t="s">
        <v>3182</v>
      </c>
      <c r="R25" s="15" t="s">
        <v>149</v>
      </c>
      <c r="S25" s="12" t="s">
        <v>1916</v>
      </c>
      <c r="T25" s="134"/>
      <c r="U25" s="12"/>
    </row>
    <row r="26" spans="1:21" s="36" customFormat="1" ht="60" customHeight="1" collapsed="1" x14ac:dyDescent="0.25">
      <c r="A26" s="38" t="s">
        <v>847</v>
      </c>
      <c r="B26" s="38" t="s">
        <v>60</v>
      </c>
      <c r="C26" s="38" t="s">
        <v>487</v>
      </c>
      <c r="D26" s="38" t="s">
        <v>1862</v>
      </c>
      <c r="E26" s="12" t="s">
        <v>263</v>
      </c>
      <c r="F26" s="12" t="s">
        <v>198</v>
      </c>
      <c r="G26" s="12"/>
      <c r="H26" s="14"/>
      <c r="I26" s="15"/>
      <c r="J26" s="89" t="str">
        <f>IF(H26&gt;0,(H26*VLOOKUP(Lookups!$K$11,Lookups!$M$10:$P$43,4,0)/VLOOKUP(I26,Lookups!$M$10:$P$43,4,0)),"")</f>
        <v/>
      </c>
      <c r="K26" s="14">
        <v>67444</v>
      </c>
      <c r="L26" s="15" t="s">
        <v>254</v>
      </c>
      <c r="M26" s="89">
        <f>IF(K26&gt;0,(K26*VLOOKUP(Lookups!$K$11,Lookups!$M$10:$P$43,4,0)/VLOOKUP(L26,Lookups!$M$10:$P$43,4,0)),"")</f>
        <v>83049.014600355949</v>
      </c>
      <c r="N26" s="14"/>
      <c r="O26" s="15"/>
      <c r="P26" s="89" t="str">
        <f>IF(N26&gt;0,(N26*VLOOKUP(Lookups!$K$11,Lookups!$M$10:$P$43,4,0)/VLOOKUP(O26,Lookups!$M$10:$P$43,4,0)),"")</f>
        <v/>
      </c>
      <c r="Q26" s="81" t="s">
        <v>3182</v>
      </c>
      <c r="R26" s="15" t="s">
        <v>149</v>
      </c>
      <c r="S26" s="12" t="s">
        <v>1917</v>
      </c>
      <c r="T26" s="134"/>
      <c r="U26" s="12"/>
    </row>
    <row r="27" spans="1:21" s="78" customFormat="1" ht="60" hidden="1" customHeight="1" outlineLevel="1" x14ac:dyDescent="0.25">
      <c r="A27" s="42" t="s">
        <v>847</v>
      </c>
      <c r="B27" s="42" t="s">
        <v>60</v>
      </c>
      <c r="C27" s="42" t="s">
        <v>2297</v>
      </c>
      <c r="D27" s="42" t="s">
        <v>525</v>
      </c>
      <c r="E27" s="12" t="s">
        <v>626</v>
      </c>
      <c r="F27" s="34"/>
      <c r="G27" s="34"/>
      <c r="H27" s="77"/>
      <c r="I27" s="15"/>
      <c r="J27" s="89" t="str">
        <f>IF(H27&gt;0,(H27*VLOOKUP(Lookups!$K$11,Lookups!$M$10:$P$43,4,0)/VLOOKUP(I27,Lookups!$M$10:$P$43,4,0)),"")</f>
        <v/>
      </c>
      <c r="K27" s="77">
        <v>11795</v>
      </c>
      <c r="L27" s="15" t="s">
        <v>196</v>
      </c>
      <c r="M27" s="89">
        <f>IF(K27&gt;0,(K27*VLOOKUP(Lookups!$K$11,Lookups!$M$10:$P$43,4,0)/VLOOKUP(L27,Lookups!$M$10:$P$43,4,0)),"")</f>
        <v>15040.771929536475</v>
      </c>
      <c r="N27" s="77"/>
      <c r="O27" s="15"/>
      <c r="P27" s="89" t="str">
        <f>IF(N27&gt;0,(N27*VLOOKUP(Lookups!$K$11,Lookups!$M$10:$P$43,4,0)/VLOOKUP(O27,Lookups!$M$10:$P$43,4,0)),"")</f>
        <v/>
      </c>
      <c r="Q27" s="82" t="s">
        <v>3183</v>
      </c>
      <c r="R27" s="15" t="s">
        <v>149</v>
      </c>
      <c r="S27" s="34" t="s">
        <v>1181</v>
      </c>
      <c r="T27" s="134"/>
      <c r="U27" s="12"/>
    </row>
    <row r="28" spans="1:21" s="78" customFormat="1" ht="60" hidden="1" customHeight="1" outlineLevel="1" x14ac:dyDescent="0.25">
      <c r="A28" s="42" t="s">
        <v>847</v>
      </c>
      <c r="B28" s="42" t="s">
        <v>60</v>
      </c>
      <c r="C28" s="42" t="s">
        <v>2298</v>
      </c>
      <c r="D28" s="42" t="s">
        <v>526</v>
      </c>
      <c r="E28" s="12" t="s">
        <v>626</v>
      </c>
      <c r="F28" s="34"/>
      <c r="G28" s="34"/>
      <c r="H28" s="77"/>
      <c r="I28" s="15"/>
      <c r="J28" s="89" t="str">
        <f>IF(H28&gt;0,(H28*VLOOKUP(Lookups!$K$11,Lookups!$M$10:$P$43,4,0)/VLOOKUP(I28,Lookups!$M$10:$P$43,4,0)),"")</f>
        <v/>
      </c>
      <c r="K28" s="77">
        <v>9428</v>
      </c>
      <c r="L28" s="15" t="s">
        <v>196</v>
      </c>
      <c r="M28" s="89">
        <f>IF(K28&gt;0,(K28*VLOOKUP(Lookups!$K$11,Lookups!$M$10:$P$43,4,0)/VLOOKUP(L28,Lookups!$M$10:$P$43,4,0)),"")</f>
        <v>12022.416087466716</v>
      </c>
      <c r="N28" s="77"/>
      <c r="O28" s="15"/>
      <c r="P28" s="89" t="str">
        <f>IF(N28&gt;0,(N28*VLOOKUP(Lookups!$K$11,Lookups!$M$10:$P$43,4,0)/VLOOKUP(O28,Lookups!$M$10:$P$43,4,0)),"")</f>
        <v/>
      </c>
      <c r="Q28" s="82" t="s">
        <v>3184</v>
      </c>
      <c r="R28" s="15" t="s">
        <v>149</v>
      </c>
      <c r="S28" s="34" t="s">
        <v>1181</v>
      </c>
      <c r="T28" s="134"/>
      <c r="U28" s="12"/>
    </row>
    <row r="29" spans="1:21" s="78" customFormat="1" ht="60" hidden="1" customHeight="1" outlineLevel="1" x14ac:dyDescent="0.25">
      <c r="A29" s="42" t="s">
        <v>847</v>
      </c>
      <c r="B29" s="42" t="s">
        <v>60</v>
      </c>
      <c r="C29" s="42" t="s">
        <v>2299</v>
      </c>
      <c r="D29" s="42" t="s">
        <v>330</v>
      </c>
      <c r="E29" s="12" t="s">
        <v>626</v>
      </c>
      <c r="F29" s="34"/>
      <c r="G29" s="34"/>
      <c r="H29" s="77"/>
      <c r="I29" s="15"/>
      <c r="J29" s="89" t="str">
        <f>IF(H29&gt;0,(H29*VLOOKUP(Lookups!$K$11,Lookups!$M$10:$P$43,4,0)/VLOOKUP(I29,Lookups!$M$10:$P$43,4,0)),"")</f>
        <v/>
      </c>
      <c r="K29" s="77">
        <v>12881</v>
      </c>
      <c r="L29" s="15" t="s">
        <v>196</v>
      </c>
      <c r="M29" s="89">
        <f>IF(K29&gt;0,(K29*VLOOKUP(Lookups!$K$11,Lookups!$M$10:$P$43,4,0)/VLOOKUP(L29,Lookups!$M$10:$P$43,4,0)),"")</f>
        <v>16425.619603591298</v>
      </c>
      <c r="N29" s="77"/>
      <c r="O29" s="15"/>
      <c r="P29" s="89" t="str">
        <f>IF(N29&gt;0,(N29*VLOOKUP(Lookups!$K$11,Lookups!$M$10:$P$43,4,0)/VLOOKUP(O29,Lookups!$M$10:$P$43,4,0)),"")</f>
        <v/>
      </c>
      <c r="Q29" s="82" t="s">
        <v>3185</v>
      </c>
      <c r="R29" s="15" t="s">
        <v>149</v>
      </c>
      <c r="S29" s="34" t="s">
        <v>1181</v>
      </c>
      <c r="T29" s="134"/>
      <c r="U29" s="12"/>
    </row>
    <row r="30" spans="1:21" s="78" customFormat="1" ht="60" hidden="1" customHeight="1" outlineLevel="1" x14ac:dyDescent="0.25">
      <c r="A30" s="42" t="s">
        <v>847</v>
      </c>
      <c r="B30" s="42" t="s">
        <v>60</v>
      </c>
      <c r="C30" s="42" t="s">
        <v>2300</v>
      </c>
      <c r="D30" s="42" t="s">
        <v>331</v>
      </c>
      <c r="E30" s="12" t="s">
        <v>626</v>
      </c>
      <c r="F30" s="34"/>
      <c r="G30" s="34"/>
      <c r="H30" s="77"/>
      <c r="I30" s="15"/>
      <c r="J30" s="89" t="str">
        <f>IF(H30&gt;0,(H30*VLOOKUP(Lookups!$K$11,Lookups!$M$10:$P$43,4,0)/VLOOKUP(I30,Lookups!$M$10:$P$43,4,0)),"")</f>
        <v/>
      </c>
      <c r="K30" s="77">
        <v>13824</v>
      </c>
      <c r="L30" s="15" t="s">
        <v>196</v>
      </c>
      <c r="M30" s="89">
        <f>IF(K30&gt;0,(K30*VLOOKUP(Lookups!$K$11,Lookups!$M$10:$P$43,4,0)/VLOOKUP(L30,Lookups!$M$10:$P$43,4,0)),"")</f>
        <v>17628.11624874203</v>
      </c>
      <c r="N30" s="77"/>
      <c r="O30" s="15"/>
      <c r="P30" s="89" t="str">
        <f>IF(N30&gt;0,(N30*VLOOKUP(Lookups!$K$11,Lookups!$M$10:$P$43,4,0)/VLOOKUP(O30,Lookups!$M$10:$P$43,4,0)),"")</f>
        <v/>
      </c>
      <c r="Q30" s="82" t="s">
        <v>3186</v>
      </c>
      <c r="R30" s="15" t="s">
        <v>149</v>
      </c>
      <c r="S30" s="34" t="s">
        <v>1181</v>
      </c>
      <c r="T30" s="134"/>
      <c r="U30" s="12"/>
    </row>
    <row r="31" spans="1:21" s="78" customFormat="1" ht="60" hidden="1" customHeight="1" outlineLevel="1" x14ac:dyDescent="0.25">
      <c r="A31" s="42" t="s">
        <v>847</v>
      </c>
      <c r="B31" s="42" t="s">
        <v>60</v>
      </c>
      <c r="C31" s="42" t="s">
        <v>2301</v>
      </c>
      <c r="D31" s="42" t="s">
        <v>333</v>
      </c>
      <c r="E31" s="12" t="s">
        <v>626</v>
      </c>
      <c r="F31" s="34"/>
      <c r="G31" s="34"/>
      <c r="H31" s="77"/>
      <c r="I31" s="15"/>
      <c r="J31" s="89" t="str">
        <f>IF(H31&gt;0,(H31*VLOOKUP(Lookups!$K$11,Lookups!$M$10:$P$43,4,0)/VLOOKUP(I31,Lookups!$M$10:$P$43,4,0)),"")</f>
        <v/>
      </c>
      <c r="K31" s="77">
        <v>8715</v>
      </c>
      <c r="L31" s="15" t="s">
        <v>196</v>
      </c>
      <c r="M31" s="89">
        <f>IF(K31&gt;0,(K31*VLOOKUP(Lookups!$K$11,Lookups!$M$10:$P$43,4,0)/VLOOKUP(L31,Lookups!$M$10:$P$43,4,0)),"")</f>
        <v>11113.211306986892</v>
      </c>
      <c r="N31" s="77"/>
      <c r="O31" s="15"/>
      <c r="P31" s="89" t="str">
        <f>IF(N31&gt;0,(N31*VLOOKUP(Lookups!$K$11,Lookups!$M$10:$P$43,4,0)/VLOOKUP(O31,Lookups!$M$10:$P$43,4,0)),"")</f>
        <v/>
      </c>
      <c r="Q31" s="82" t="s">
        <v>3187</v>
      </c>
      <c r="R31" s="15" t="s">
        <v>149</v>
      </c>
      <c r="S31" s="34" t="s">
        <v>1181</v>
      </c>
      <c r="T31" s="134"/>
      <c r="U31" s="12"/>
    </row>
    <row r="32" spans="1:21" s="78" customFormat="1" ht="60" hidden="1" customHeight="1" outlineLevel="1" x14ac:dyDescent="0.25">
      <c r="A32" s="42" t="s">
        <v>847</v>
      </c>
      <c r="B32" s="42" t="s">
        <v>60</v>
      </c>
      <c r="C32" s="42" t="s">
        <v>2302</v>
      </c>
      <c r="D32" s="42" t="s">
        <v>334</v>
      </c>
      <c r="E32" s="12" t="s">
        <v>626</v>
      </c>
      <c r="F32" s="34"/>
      <c r="G32" s="34"/>
      <c r="H32" s="77"/>
      <c r="I32" s="15"/>
      <c r="J32" s="89" t="str">
        <f>IF(H32&gt;0,(H32*VLOOKUP(Lookups!$K$11,Lookups!$M$10:$P$43,4,0)/VLOOKUP(I32,Lookups!$M$10:$P$43,4,0)),"")</f>
        <v/>
      </c>
      <c r="K32" s="77">
        <v>12191</v>
      </c>
      <c r="L32" s="15" t="s">
        <v>196</v>
      </c>
      <c r="M32" s="89">
        <f>IF(K32&gt;0,(K32*VLOOKUP(Lookups!$K$11,Lookups!$M$10:$P$43,4,0)/VLOOKUP(L32,Lookups!$M$10:$P$43,4,0)),"")</f>
        <v>15545.744009578564</v>
      </c>
      <c r="N32" s="77"/>
      <c r="O32" s="15"/>
      <c r="P32" s="89" t="str">
        <f>IF(N32&gt;0,(N32*VLOOKUP(Lookups!$K$11,Lookups!$M$10:$P$43,4,0)/VLOOKUP(O32,Lookups!$M$10:$P$43,4,0)),"")</f>
        <v/>
      </c>
      <c r="Q32" s="82" t="s">
        <v>3188</v>
      </c>
      <c r="R32" s="15" t="s">
        <v>149</v>
      </c>
      <c r="S32" s="34" t="s">
        <v>1181</v>
      </c>
      <c r="T32" s="134"/>
      <c r="U32" s="12"/>
    </row>
    <row r="33" spans="1:21" s="36" customFormat="1" ht="60" customHeight="1" x14ac:dyDescent="0.25">
      <c r="A33" s="38" t="s">
        <v>847</v>
      </c>
      <c r="B33" s="38" t="s">
        <v>60</v>
      </c>
      <c r="C33" s="38" t="s">
        <v>488</v>
      </c>
      <c r="D33" s="38" t="s">
        <v>913</v>
      </c>
      <c r="E33" s="12" t="s">
        <v>626</v>
      </c>
      <c r="F33" s="12" t="s">
        <v>198</v>
      </c>
      <c r="G33" s="12"/>
      <c r="H33" s="14">
        <f>20514/40</f>
        <v>512.85</v>
      </c>
      <c r="I33" s="15" t="s">
        <v>196</v>
      </c>
      <c r="J33" s="89">
        <f>IF(H33&gt;0,(H33*VLOOKUP(Lookups!$K$11,Lookups!$M$10:$P$43,4,0)/VLOOKUP(I33,Lookups!$M$10:$P$43,4,0)),"")</f>
        <v>653.97709911511504</v>
      </c>
      <c r="K33" s="14">
        <v>921</v>
      </c>
      <c r="L33" s="15" t="s">
        <v>196</v>
      </c>
      <c r="M33" s="89">
        <f>IF(K33&gt;0,(K33*VLOOKUP(Lookups!$K$11,Lookups!$M$10:$P$43,4,0)/VLOOKUP(L33,Lookups!$M$10:$P$43,4,0)),"")</f>
        <v>1174.4426407039505</v>
      </c>
      <c r="N33" s="14"/>
      <c r="O33" s="15"/>
      <c r="P33" s="89" t="str">
        <f>IF(N33&gt;0,(N33*VLOOKUP(Lookups!$K$11,Lookups!$M$10:$P$43,4,0)/VLOOKUP(O33,Lookups!$M$10:$P$43,4,0)),"")</f>
        <v/>
      </c>
      <c r="Q33" s="143" t="s">
        <v>3181</v>
      </c>
      <c r="R33" s="15" t="s">
        <v>149</v>
      </c>
      <c r="S33" s="12" t="s">
        <v>1918</v>
      </c>
      <c r="T33" s="134"/>
      <c r="U33" s="12"/>
    </row>
    <row r="34" spans="1:21" s="36" customFormat="1" ht="60" customHeight="1" x14ac:dyDescent="0.25">
      <c r="A34" s="38" t="s">
        <v>847</v>
      </c>
      <c r="B34" s="38" t="s">
        <v>60</v>
      </c>
      <c r="C34" s="38" t="s">
        <v>489</v>
      </c>
      <c r="D34" s="38" t="s">
        <v>914</v>
      </c>
      <c r="E34" s="12" t="s">
        <v>626</v>
      </c>
      <c r="F34" s="12" t="s">
        <v>198</v>
      </c>
      <c r="G34" s="12"/>
      <c r="H34" s="14">
        <f>29654/40</f>
        <v>741.35</v>
      </c>
      <c r="I34" s="15" t="s">
        <v>196</v>
      </c>
      <c r="J34" s="89">
        <f>IF(H34&gt;0,(H34*VLOOKUP(Lookups!$K$11,Lookups!$M$10:$P$43,4,0)/VLOOKUP(I34,Lookups!$M$10:$P$43,4,0)),"")</f>
        <v>945.35619075556303</v>
      </c>
      <c r="K34" s="77">
        <f>55281/40</f>
        <v>1382.0250000000001</v>
      </c>
      <c r="L34" s="15" t="s">
        <v>196</v>
      </c>
      <c r="M34" s="89">
        <f>IF(K34&gt;0,(K34*VLOOKUP(Lookups!$K$11,Lookups!$M$10:$P$43,4,0)/VLOOKUP(L34,Lookups!$M$10:$P$43,4,0)),"")</f>
        <v>1762.3334316165876</v>
      </c>
      <c r="N34" s="14"/>
      <c r="O34" s="15"/>
      <c r="P34" s="89" t="str">
        <f>IF(N34&gt;0,(N34*VLOOKUP(Lookups!$K$11,Lookups!$M$10:$P$43,4,0)/VLOOKUP(O34,Lookups!$M$10:$P$43,4,0)),"")</f>
        <v/>
      </c>
      <c r="Q34" s="143" t="s">
        <v>3181</v>
      </c>
      <c r="R34" s="15" t="s">
        <v>149</v>
      </c>
      <c r="S34" s="12" t="s">
        <v>1919</v>
      </c>
      <c r="T34" s="134"/>
      <c r="U34" s="12"/>
    </row>
    <row r="35" spans="1:21" s="36" customFormat="1" ht="60" customHeight="1" x14ac:dyDescent="0.25">
      <c r="A35" s="38" t="s">
        <v>847</v>
      </c>
      <c r="B35" s="38" t="s">
        <v>60</v>
      </c>
      <c r="C35" s="38" t="s">
        <v>490</v>
      </c>
      <c r="D35" s="38" t="s">
        <v>990</v>
      </c>
      <c r="E35" s="12" t="s">
        <v>626</v>
      </c>
      <c r="F35" s="12" t="s">
        <v>198</v>
      </c>
      <c r="G35" s="12"/>
      <c r="H35" s="14">
        <f>27311/40</f>
        <v>682.77499999999998</v>
      </c>
      <c r="I35" s="15" t="s">
        <v>196</v>
      </c>
      <c r="J35" s="89">
        <f>IF(H35&gt;0,(H35*VLOOKUP(Lookups!$K$11,Lookups!$M$10:$P$43,4,0)/VLOOKUP(I35,Lookups!$M$10:$P$43,4,0)),"")</f>
        <v>870.662403916004</v>
      </c>
      <c r="K35" s="77">
        <f>44906/40</f>
        <v>1122.6500000000001</v>
      </c>
      <c r="L35" s="15" t="s">
        <v>196</v>
      </c>
      <c r="M35" s="89">
        <f>IF(K35&gt;0,(K35*VLOOKUP(Lookups!$K$11,Lookups!$M$10:$P$43,4,0)/VLOOKUP(L35,Lookups!$M$10:$P$43,4,0)),"")</f>
        <v>1431.5830950991203</v>
      </c>
      <c r="N35" s="14"/>
      <c r="O35" s="15"/>
      <c r="P35" s="89" t="str">
        <f>IF(N35&gt;0,(N35*VLOOKUP(Lookups!$K$11,Lookups!$M$10:$P$43,4,0)/VLOOKUP(O35,Lookups!$M$10:$P$43,4,0)),"")</f>
        <v/>
      </c>
      <c r="Q35" s="143" t="s">
        <v>3181</v>
      </c>
      <c r="R35" s="15" t="s">
        <v>149</v>
      </c>
      <c r="S35" s="12" t="s">
        <v>1920</v>
      </c>
      <c r="T35" s="134"/>
      <c r="U35" s="12"/>
    </row>
    <row r="36" spans="1:21" s="36" customFormat="1" ht="60" customHeight="1" x14ac:dyDescent="0.25">
      <c r="A36" s="38" t="s">
        <v>847</v>
      </c>
      <c r="B36" s="38" t="s">
        <v>60</v>
      </c>
      <c r="C36" s="38" t="s">
        <v>491</v>
      </c>
      <c r="D36" s="38" t="s">
        <v>1863</v>
      </c>
      <c r="E36" s="12" t="s">
        <v>263</v>
      </c>
      <c r="F36" s="12" t="s">
        <v>198</v>
      </c>
      <c r="G36" s="12"/>
      <c r="H36" s="14"/>
      <c r="I36" s="15"/>
      <c r="J36" s="89" t="str">
        <f>IF(H36&gt;0,(H36*VLOOKUP(Lookups!$K$11,Lookups!$M$10:$P$43,4,0)/VLOOKUP(I36,Lookups!$M$10:$P$43,4,0)),"")</f>
        <v/>
      </c>
      <c r="K36" s="14">
        <v>175500</v>
      </c>
      <c r="L36" s="15" t="s">
        <v>254</v>
      </c>
      <c r="M36" s="89">
        <f>IF(K36&gt;0,(K36*VLOOKUP(Lookups!$K$11,Lookups!$M$10:$P$43,4,0)/VLOOKUP(L36,Lookups!$M$10:$P$43,4,0)),"")</f>
        <v>216106.72650439577</v>
      </c>
      <c r="N36" s="14"/>
      <c r="O36" s="15"/>
      <c r="P36" s="89" t="str">
        <f>IF(N36&gt;0,(N36*VLOOKUP(Lookups!$K$11,Lookups!$M$10:$P$43,4,0)/VLOOKUP(O36,Lookups!$M$10:$P$43,4,0)),"")</f>
        <v/>
      </c>
      <c r="Q36" s="81" t="s">
        <v>3182</v>
      </c>
      <c r="R36" s="15" t="s">
        <v>149</v>
      </c>
      <c r="S36" s="12" t="s">
        <v>1921</v>
      </c>
      <c r="T36" s="134"/>
      <c r="U36" s="12"/>
    </row>
    <row r="37" spans="1:21" s="36" customFormat="1" ht="60" customHeight="1" collapsed="1" x14ac:dyDescent="0.25">
      <c r="A37" s="38" t="s">
        <v>847</v>
      </c>
      <c r="B37" s="38" t="s">
        <v>60</v>
      </c>
      <c r="C37" s="38" t="s">
        <v>1720</v>
      </c>
      <c r="D37" s="38" t="s">
        <v>1864</v>
      </c>
      <c r="E37" s="12" t="s">
        <v>263</v>
      </c>
      <c r="F37" s="12" t="s">
        <v>198</v>
      </c>
      <c r="G37" s="12"/>
      <c r="H37" s="14"/>
      <c r="I37" s="15"/>
      <c r="J37" s="89" t="str">
        <f>IF(H37&gt;0,(H37*VLOOKUP(Lookups!$K$11,Lookups!$M$10:$P$43,4,0)/VLOOKUP(I37,Lookups!$M$10:$P$43,4,0)),"")</f>
        <v/>
      </c>
      <c r="K37" s="14">
        <v>78477</v>
      </c>
      <c r="L37" s="15" t="s">
        <v>254</v>
      </c>
      <c r="M37" s="89">
        <f>IF(K37&gt;0,(K37*VLOOKUP(Lookups!$K$11,Lookups!$M$10:$P$43,4,0)/VLOOKUP(L37,Lookups!$M$10:$P$43,4,0)),"")</f>
        <v>96634.801002196386</v>
      </c>
      <c r="N37" s="14"/>
      <c r="O37" s="15"/>
      <c r="P37" s="89" t="str">
        <f>IF(N37&gt;0,(N37*VLOOKUP(Lookups!$K$11,Lookups!$M$10:$P$43,4,0)/VLOOKUP(O37,Lookups!$M$10:$P$43,4,0)),"")</f>
        <v/>
      </c>
      <c r="Q37" s="81" t="s">
        <v>3182</v>
      </c>
      <c r="R37" s="15" t="s">
        <v>149</v>
      </c>
      <c r="S37" s="12" t="s">
        <v>1922</v>
      </c>
      <c r="T37" s="134"/>
      <c r="U37" s="12"/>
    </row>
    <row r="38" spans="1:21" s="78" customFormat="1" ht="60" hidden="1" customHeight="1" outlineLevel="1" x14ac:dyDescent="0.25">
      <c r="A38" s="42" t="s">
        <v>847</v>
      </c>
      <c r="B38" s="42" t="s">
        <v>60</v>
      </c>
      <c r="C38" s="42" t="s">
        <v>2303</v>
      </c>
      <c r="D38" s="42" t="s">
        <v>821</v>
      </c>
      <c r="E38" s="12" t="s">
        <v>626</v>
      </c>
      <c r="F38" s="34"/>
      <c r="G38" s="34"/>
      <c r="H38" s="77"/>
      <c r="I38" s="15"/>
      <c r="J38" s="89" t="str">
        <f>IF(H38&gt;0,(H38*VLOOKUP(Lookups!$K$11,Lookups!$M$10:$P$43,4,0)/VLOOKUP(I38,Lookups!$M$10:$P$43,4,0)),"")</f>
        <v/>
      </c>
      <c r="K38" s="77">
        <v>17574</v>
      </c>
      <c r="L38" s="15" t="s">
        <v>196</v>
      </c>
      <c r="M38" s="89">
        <f>IF(K38&gt;0,(K38*VLOOKUP(Lookups!$K$11,Lookups!$M$10:$P$43,4,0)/VLOOKUP(L38,Lookups!$M$10:$P$43,4,0)),"")</f>
        <v>22410.048824898178</v>
      </c>
      <c r="N38" s="77"/>
      <c r="O38" s="15"/>
      <c r="P38" s="89" t="str">
        <f>IF(N38&gt;0,(N38*VLOOKUP(Lookups!$K$11,Lookups!$M$10:$P$43,4,0)/VLOOKUP(O38,Lookups!$M$10:$P$43,4,0)),"")</f>
        <v/>
      </c>
      <c r="Q38" s="82" t="s">
        <v>3189</v>
      </c>
      <c r="R38" s="15" t="s">
        <v>149</v>
      </c>
      <c r="S38" s="34" t="s">
        <v>1181</v>
      </c>
      <c r="T38" s="134"/>
      <c r="U38" s="12"/>
    </row>
    <row r="39" spans="1:21" s="78" customFormat="1" ht="60" hidden="1" customHeight="1" outlineLevel="1" x14ac:dyDescent="0.25">
      <c r="A39" s="42" t="s">
        <v>847</v>
      </c>
      <c r="B39" s="42" t="s">
        <v>60</v>
      </c>
      <c r="C39" s="42" t="s">
        <v>2304</v>
      </c>
      <c r="D39" s="42" t="s">
        <v>524</v>
      </c>
      <c r="E39" s="12" t="s">
        <v>626</v>
      </c>
      <c r="F39" s="34"/>
      <c r="G39" s="34"/>
      <c r="H39" s="77"/>
      <c r="I39" s="15"/>
      <c r="J39" s="89" t="str">
        <f>IF(H39&gt;0,(H39*VLOOKUP(Lookups!$K$11,Lookups!$M$10:$P$43,4,0)/VLOOKUP(I39,Lookups!$M$10:$P$43,4,0)),"")</f>
        <v/>
      </c>
      <c r="K39" s="77">
        <v>20352</v>
      </c>
      <c r="L39" s="15" t="s">
        <v>196</v>
      </c>
      <c r="M39" s="89">
        <f>IF(K39&gt;0,(K39*VLOOKUP(Lookups!$K$11,Lookups!$M$10:$P$43,4,0)/VLOOKUP(L39,Lookups!$M$10:$P$43,4,0)),"")</f>
        <v>25952.504477314655</v>
      </c>
      <c r="N39" s="77"/>
      <c r="O39" s="15"/>
      <c r="P39" s="89" t="str">
        <f>IF(N39&gt;0,(N39*VLOOKUP(Lookups!$K$11,Lookups!$M$10:$P$43,4,0)/VLOOKUP(O39,Lookups!$M$10:$P$43,4,0)),"")</f>
        <v/>
      </c>
      <c r="Q39" s="82" t="s">
        <v>3190</v>
      </c>
      <c r="R39" s="15" t="s">
        <v>149</v>
      </c>
      <c r="S39" s="34" t="s">
        <v>1181</v>
      </c>
      <c r="T39" s="134"/>
      <c r="U39" s="12"/>
    </row>
    <row r="40" spans="1:21" s="78" customFormat="1" ht="60" hidden="1" customHeight="1" outlineLevel="1" x14ac:dyDescent="0.25">
      <c r="A40" s="42" t="s">
        <v>847</v>
      </c>
      <c r="B40" s="42" t="s">
        <v>60</v>
      </c>
      <c r="C40" s="42" t="s">
        <v>2305</v>
      </c>
      <c r="D40" s="42" t="s">
        <v>332</v>
      </c>
      <c r="E40" s="12" t="s">
        <v>626</v>
      </c>
      <c r="F40" s="34"/>
      <c r="G40" s="34"/>
      <c r="H40" s="77"/>
      <c r="I40" s="15"/>
      <c r="J40" s="89" t="str">
        <f>IF(H40&gt;0,(H40*VLOOKUP(Lookups!$K$11,Lookups!$M$10:$P$43,4,0)/VLOOKUP(I40,Lookups!$M$10:$P$43,4,0)),"")</f>
        <v/>
      </c>
      <c r="K40" s="77">
        <v>18922</v>
      </c>
      <c r="L40" s="15" t="s">
        <v>196</v>
      </c>
      <c r="M40" s="89">
        <f>IF(K40&gt;0,(K40*VLOOKUP(Lookups!$K$11,Lookups!$M$10:$P$43,4,0)/VLOOKUP(L40,Lookups!$M$10:$P$43,4,0)),"")</f>
        <v>24128.994188273777</v>
      </c>
      <c r="N40" s="77"/>
      <c r="O40" s="15"/>
      <c r="P40" s="89" t="str">
        <f>IF(N40&gt;0,(N40*VLOOKUP(Lookups!$K$11,Lookups!$M$10:$P$43,4,0)/VLOOKUP(O40,Lookups!$M$10:$P$43,4,0)),"")</f>
        <v/>
      </c>
      <c r="Q40" s="82" t="s">
        <v>3186</v>
      </c>
      <c r="R40" s="15" t="s">
        <v>149</v>
      </c>
      <c r="S40" s="34" t="s">
        <v>1181</v>
      </c>
      <c r="T40" s="134"/>
      <c r="U40" s="12"/>
    </row>
    <row r="41" spans="1:21" s="36" customFormat="1" ht="60" customHeight="1" x14ac:dyDescent="0.25">
      <c r="A41" s="38" t="s">
        <v>847</v>
      </c>
      <c r="B41" s="38" t="s">
        <v>60</v>
      </c>
      <c r="C41" s="38" t="s">
        <v>1743</v>
      </c>
      <c r="D41" s="39" t="s">
        <v>1923</v>
      </c>
      <c r="E41" s="12" t="s">
        <v>263</v>
      </c>
      <c r="F41" s="12" t="s">
        <v>198</v>
      </c>
      <c r="G41" s="12"/>
      <c r="H41" s="14">
        <v>110000</v>
      </c>
      <c r="I41" s="15" t="s">
        <v>261</v>
      </c>
      <c r="J41" s="89">
        <v>115050.35083478218</v>
      </c>
      <c r="K41" s="14">
        <v>130000</v>
      </c>
      <c r="L41" s="15" t="s">
        <v>261</v>
      </c>
      <c r="M41" s="89">
        <v>135968.5964411062</v>
      </c>
      <c r="N41" s="14"/>
      <c r="O41" s="15"/>
      <c r="P41" s="89" t="s">
        <v>2292</v>
      </c>
      <c r="Q41" s="82" t="s">
        <v>3191</v>
      </c>
      <c r="R41" s="15" t="s">
        <v>154</v>
      </c>
      <c r="S41" s="12" t="s">
        <v>2264</v>
      </c>
      <c r="T41" s="134" t="s">
        <v>923</v>
      </c>
      <c r="U41" s="12" t="s">
        <v>2256</v>
      </c>
    </row>
    <row r="42" spans="1:21" s="36" customFormat="1" ht="60" customHeight="1" x14ac:dyDescent="0.25">
      <c r="A42" s="38" t="s">
        <v>847</v>
      </c>
      <c r="B42" s="38" t="s">
        <v>60</v>
      </c>
      <c r="C42" s="38" t="s">
        <v>1744</v>
      </c>
      <c r="D42" s="39" t="s">
        <v>1924</v>
      </c>
      <c r="E42" s="12" t="s">
        <v>263</v>
      </c>
      <c r="F42" s="12" t="s">
        <v>198</v>
      </c>
      <c r="G42" s="12"/>
      <c r="H42" s="14">
        <v>30000</v>
      </c>
      <c r="I42" s="15" t="s">
        <v>261</v>
      </c>
      <c r="J42" s="89">
        <v>31377.368409486047</v>
      </c>
      <c r="K42" s="14">
        <v>100000</v>
      </c>
      <c r="L42" s="15" t="s">
        <v>261</v>
      </c>
      <c r="M42" s="89">
        <v>104591.22803162015</v>
      </c>
      <c r="N42" s="14"/>
      <c r="O42" s="15"/>
      <c r="P42" s="89" t="s">
        <v>2292</v>
      </c>
      <c r="Q42" s="82" t="s">
        <v>3191</v>
      </c>
      <c r="R42" s="15" t="s">
        <v>154</v>
      </c>
      <c r="S42" s="12" t="s">
        <v>2264</v>
      </c>
      <c r="T42" s="134" t="s">
        <v>923</v>
      </c>
      <c r="U42" s="12" t="s">
        <v>2256</v>
      </c>
    </row>
    <row r="43" spans="1:21" s="36" customFormat="1" ht="60" customHeight="1" collapsed="1" x14ac:dyDescent="0.25">
      <c r="A43" s="38" t="s">
        <v>847</v>
      </c>
      <c r="B43" s="38" t="s">
        <v>60</v>
      </c>
      <c r="C43" s="38" t="s">
        <v>1745</v>
      </c>
      <c r="D43" s="38" t="s">
        <v>1735</v>
      </c>
      <c r="E43" s="12" t="s">
        <v>263</v>
      </c>
      <c r="F43" s="12" t="s">
        <v>243</v>
      </c>
      <c r="G43" s="12"/>
      <c r="H43" s="14"/>
      <c r="I43" s="15"/>
      <c r="J43" s="89" t="str">
        <f>IF(H43&gt;0,(H43*VLOOKUP(Lookups!$K$11,Lookups!$M$10:$P$43,4,0)/VLOOKUP(I43,Lookups!$M$10:$P$43,4,0)),"")</f>
        <v/>
      </c>
      <c r="K43" s="14">
        <v>102941</v>
      </c>
      <c r="L43" s="15" t="s">
        <v>254</v>
      </c>
      <c r="M43" s="89">
        <f>IF(K43&gt;0,(K43*VLOOKUP(Lookups!$K$11,Lookups!$M$10:$P$43,4,0)/VLOOKUP(L43,Lookups!$M$10:$P$43,4,0)),"")</f>
        <v>126759.21671275787</v>
      </c>
      <c r="N43" s="14"/>
      <c r="O43" s="15"/>
      <c r="P43" s="89" t="str">
        <f>IF(N43&gt;0,(N43*VLOOKUP(Lookups!$K$11,Lookups!$M$10:$P$43,4,0)/VLOOKUP(O43,Lookups!$M$10:$P$43,4,0)),"")</f>
        <v/>
      </c>
      <c r="Q43" s="81" t="s">
        <v>3182</v>
      </c>
      <c r="R43" s="15" t="s">
        <v>149</v>
      </c>
      <c r="S43" s="12" t="s">
        <v>2257</v>
      </c>
      <c r="T43" s="134"/>
      <c r="U43" s="12"/>
    </row>
    <row r="44" spans="1:21" s="36" customFormat="1" ht="60" hidden="1" customHeight="1" outlineLevel="1" x14ac:dyDescent="0.25">
      <c r="A44" s="42" t="s">
        <v>847</v>
      </c>
      <c r="B44" s="42" t="s">
        <v>60</v>
      </c>
      <c r="C44" s="42" t="s">
        <v>1747</v>
      </c>
      <c r="D44" s="42" t="s">
        <v>1737</v>
      </c>
      <c r="E44" s="12" t="s">
        <v>263</v>
      </c>
      <c r="F44" s="12" t="s">
        <v>243</v>
      </c>
      <c r="G44" s="12"/>
      <c r="H44" s="14"/>
      <c r="I44" s="15"/>
      <c r="J44" s="89" t="str">
        <f>IF(H44&gt;0,(H44*VLOOKUP(Lookups!$K$11,Lookups!$M$10:$P$43,4,0)/VLOOKUP(I44,Lookups!$M$10:$P$43,4,0)),"")</f>
        <v/>
      </c>
      <c r="K44" s="14">
        <v>62930</v>
      </c>
      <c r="L44" s="15" t="s">
        <v>254</v>
      </c>
      <c r="M44" s="89">
        <f>IF(K44&gt;0,(K44*VLOOKUP(Lookups!$K$11,Lookups!$M$10:$P$43,4,0)/VLOOKUP(L44,Lookups!$M$10:$P$43,4,0)),"")</f>
        <v>77490.577201832624</v>
      </c>
      <c r="N44" s="14"/>
      <c r="O44" s="15"/>
      <c r="P44" s="89" t="str">
        <f>IF(N44&gt;0,(N44*VLOOKUP(Lookups!$K$11,Lookups!$M$10:$P$43,4,0)/VLOOKUP(O44,Lookups!$M$10:$P$43,4,0)),"")</f>
        <v/>
      </c>
      <c r="Q44" s="81" t="s">
        <v>3182</v>
      </c>
      <c r="R44" s="15" t="s">
        <v>149</v>
      </c>
      <c r="S44" s="12" t="s">
        <v>2258</v>
      </c>
      <c r="T44" s="134"/>
      <c r="U44" s="12"/>
    </row>
    <row r="45" spans="1:21" s="36" customFormat="1" ht="60" hidden="1" customHeight="1" outlineLevel="1" x14ac:dyDescent="0.25">
      <c r="A45" s="42" t="s">
        <v>847</v>
      </c>
      <c r="B45" s="42" t="s">
        <v>60</v>
      </c>
      <c r="C45" s="42" t="s">
        <v>1865</v>
      </c>
      <c r="D45" s="42" t="s">
        <v>1721</v>
      </c>
      <c r="E45" s="12" t="s">
        <v>263</v>
      </c>
      <c r="F45" s="12" t="s">
        <v>243</v>
      </c>
      <c r="G45" s="12"/>
      <c r="H45" s="14"/>
      <c r="I45" s="15"/>
      <c r="J45" s="89" t="str">
        <f>IF(H45&gt;0,(H45*VLOOKUP(Lookups!$K$11,Lookups!$M$10:$P$43,4,0)/VLOOKUP(I45,Lookups!$M$10:$P$43,4,0)),"")</f>
        <v/>
      </c>
      <c r="K45" s="14">
        <v>170984</v>
      </c>
      <c r="L45" s="15" t="s">
        <v>254</v>
      </c>
      <c r="M45" s="89">
        <f>IF(K45&gt;0,(K45*VLOOKUP(Lookups!$K$11,Lookups!$M$10:$P$43,4,0)/VLOOKUP(L45,Lookups!$M$10:$P$43,4,0)),"")</f>
        <v>210545.82635115445</v>
      </c>
      <c r="N45" s="14"/>
      <c r="O45" s="15"/>
      <c r="P45" s="89" t="str">
        <f>IF(N45&gt;0,(N45*VLOOKUP(Lookups!$K$11,Lookups!$M$10:$P$43,4,0)/VLOOKUP(O45,Lookups!$M$10:$P$43,4,0)),"")</f>
        <v/>
      </c>
      <c r="Q45" s="81" t="s">
        <v>3182</v>
      </c>
      <c r="R45" s="15" t="s">
        <v>149</v>
      </c>
      <c r="S45" s="12" t="s">
        <v>1888</v>
      </c>
      <c r="T45" s="134"/>
      <c r="U45" s="12"/>
    </row>
    <row r="46" spans="1:21" s="36" customFormat="1" ht="60" hidden="1" customHeight="1" outlineLevel="1" x14ac:dyDescent="0.25">
      <c r="A46" s="42" t="s">
        <v>847</v>
      </c>
      <c r="B46" s="42" t="s">
        <v>60</v>
      </c>
      <c r="C46" s="42" t="s">
        <v>1866</v>
      </c>
      <c r="D46" s="42" t="s">
        <v>1723</v>
      </c>
      <c r="E46" s="12" t="s">
        <v>263</v>
      </c>
      <c r="F46" s="12" t="s">
        <v>243</v>
      </c>
      <c r="G46" s="12"/>
      <c r="H46" s="14"/>
      <c r="I46" s="15"/>
      <c r="J46" s="89" t="str">
        <f>IF(H46&gt;0,(H46*VLOOKUP(Lookups!$K$11,Lookups!$M$10:$P$43,4,0)/VLOOKUP(I46,Lookups!$M$10:$P$43,4,0)),"")</f>
        <v/>
      </c>
      <c r="K46" s="14">
        <v>59043</v>
      </c>
      <c r="L46" s="15" t="s">
        <v>254</v>
      </c>
      <c r="M46" s="89">
        <f>IF(K46&gt;0,(K46*VLOOKUP(Lookups!$K$11,Lookups!$M$10:$P$43,4,0)/VLOOKUP(L46,Lookups!$M$10:$P$43,4,0)),"")</f>
        <v>72704.213407401941</v>
      </c>
      <c r="N46" s="14"/>
      <c r="O46" s="15"/>
      <c r="P46" s="89" t="str">
        <f>IF(N46&gt;0,(N46*VLOOKUP(Lookups!$K$11,Lookups!$M$10:$P$43,4,0)/VLOOKUP(O46,Lookups!$M$10:$P$43,4,0)),"")</f>
        <v/>
      </c>
      <c r="Q46" s="81" t="s">
        <v>3182</v>
      </c>
      <c r="R46" s="15" t="s">
        <v>149</v>
      </c>
      <c r="S46" s="12" t="s">
        <v>1889</v>
      </c>
      <c r="T46" s="134"/>
      <c r="U46" s="12"/>
    </row>
    <row r="47" spans="1:21" s="36" customFormat="1" ht="60" hidden="1" customHeight="1" outlineLevel="1" x14ac:dyDescent="0.25">
      <c r="A47" s="42" t="s">
        <v>847</v>
      </c>
      <c r="B47" s="42" t="s">
        <v>60</v>
      </c>
      <c r="C47" s="42" t="s">
        <v>1867</v>
      </c>
      <c r="D47" s="42" t="s">
        <v>1727</v>
      </c>
      <c r="E47" s="12" t="s">
        <v>263</v>
      </c>
      <c r="F47" s="12" t="s">
        <v>243</v>
      </c>
      <c r="G47" s="12"/>
      <c r="H47" s="14"/>
      <c r="I47" s="15"/>
      <c r="J47" s="89" t="str">
        <f>IF(H47&gt;0,(H47*VLOOKUP(Lookups!$K$11,Lookups!$M$10:$P$43,4,0)/VLOOKUP(I47,Lookups!$M$10:$P$43,4,0)),"")</f>
        <v/>
      </c>
      <c r="K47" s="14">
        <v>72999</v>
      </c>
      <c r="L47" s="15" t="s">
        <v>254</v>
      </c>
      <c r="M47" s="89">
        <f>IF(K47&gt;0,(K47*VLOOKUP(Lookups!$K$11,Lookups!$M$10:$P$43,4,0)/VLOOKUP(L47,Lookups!$M$10:$P$43,4,0)),"")</f>
        <v>89889.315829597646</v>
      </c>
      <c r="N47" s="14"/>
      <c r="O47" s="15"/>
      <c r="P47" s="89" t="str">
        <f>IF(N47&gt;0,(N47*VLOOKUP(Lookups!$K$11,Lookups!$M$10:$P$43,4,0)/VLOOKUP(O47,Lookups!$M$10:$P$43,4,0)),"")</f>
        <v/>
      </c>
      <c r="Q47" s="81" t="s">
        <v>3182</v>
      </c>
      <c r="R47" s="15" t="s">
        <v>149</v>
      </c>
      <c r="S47" s="12" t="s">
        <v>1890</v>
      </c>
      <c r="T47" s="134"/>
      <c r="U47" s="12"/>
    </row>
    <row r="48" spans="1:21" s="36" customFormat="1" ht="60" hidden="1" customHeight="1" outlineLevel="1" x14ac:dyDescent="0.25">
      <c r="A48" s="42" t="s">
        <v>847</v>
      </c>
      <c r="B48" s="42" t="s">
        <v>60</v>
      </c>
      <c r="C48" s="42" t="s">
        <v>1868</v>
      </c>
      <c r="D48" s="42" t="s">
        <v>1731</v>
      </c>
      <c r="E48" s="12" t="s">
        <v>263</v>
      </c>
      <c r="F48" s="12" t="s">
        <v>243</v>
      </c>
      <c r="G48" s="12"/>
      <c r="H48" s="14"/>
      <c r="I48" s="15"/>
      <c r="J48" s="89" t="str">
        <f>IF(H48&gt;0,(H48*VLOOKUP(Lookups!$K$11,Lookups!$M$10:$P$43,4,0)/VLOOKUP(I48,Lookups!$M$10:$P$43,4,0)),"")</f>
        <v/>
      </c>
      <c r="K48" s="14">
        <v>2909</v>
      </c>
      <c r="L48" s="15" t="s">
        <v>254</v>
      </c>
      <c r="M48" s="89">
        <f>IF(K48&gt;0,(K48*VLOOKUP(Lookups!$K$11,Lookups!$M$10:$P$43,4,0)/VLOOKUP(L48,Lookups!$M$10:$P$43,4,0)),"")</f>
        <v>3582.0767373292724</v>
      </c>
      <c r="N48" s="14"/>
      <c r="O48" s="15"/>
      <c r="P48" s="89" t="str">
        <f>IF(N48&gt;0,(N48*VLOOKUP(Lookups!$K$11,Lookups!$M$10:$P$43,4,0)/VLOOKUP(O48,Lookups!$M$10:$P$43,4,0)),"")</f>
        <v/>
      </c>
      <c r="Q48" s="81" t="s">
        <v>3182</v>
      </c>
      <c r="R48" s="15" t="s">
        <v>149</v>
      </c>
      <c r="S48" s="12" t="s">
        <v>2259</v>
      </c>
      <c r="T48" s="134"/>
      <c r="U48" s="12"/>
    </row>
    <row r="49" spans="1:21" s="36" customFormat="1" ht="60" hidden="1" customHeight="1" outlineLevel="1" x14ac:dyDescent="0.25">
      <c r="A49" s="42" t="s">
        <v>847</v>
      </c>
      <c r="B49" s="42" t="s">
        <v>60</v>
      </c>
      <c r="C49" s="42" t="s">
        <v>1869</v>
      </c>
      <c r="D49" s="42" t="s">
        <v>1725</v>
      </c>
      <c r="E49" s="12" t="s">
        <v>263</v>
      </c>
      <c r="F49" s="12" t="s">
        <v>243</v>
      </c>
      <c r="G49" s="12"/>
      <c r="H49" s="14"/>
      <c r="I49" s="15"/>
      <c r="J49" s="89" t="str">
        <f>IF(H49&gt;0,(H49*VLOOKUP(Lookups!$K$11,Lookups!$M$10:$P$43,4,0)/VLOOKUP(I49,Lookups!$M$10:$P$43,4,0)),"")</f>
        <v/>
      </c>
      <c r="K49" s="14">
        <v>39047</v>
      </c>
      <c r="L49" s="15" t="s">
        <v>254</v>
      </c>
      <c r="M49" s="89">
        <f>IF(K49&gt;0,(K49*VLOOKUP(Lookups!$K$11,Lookups!$M$10:$P$43,4,0)/VLOOKUP(L49,Lookups!$M$10:$P$43,4,0)),"")</f>
        <v>48081.591736849805</v>
      </c>
      <c r="N49" s="14"/>
      <c r="O49" s="15"/>
      <c r="P49" s="89" t="str">
        <f>IF(N49&gt;0,(N49*VLOOKUP(Lookups!$K$11,Lookups!$M$10:$P$43,4,0)/VLOOKUP(O49,Lookups!$M$10:$P$43,4,0)),"")</f>
        <v/>
      </c>
      <c r="Q49" s="81" t="s">
        <v>3182</v>
      </c>
      <c r="R49" s="15" t="s">
        <v>149</v>
      </c>
      <c r="S49" s="12" t="s">
        <v>2081</v>
      </c>
      <c r="T49" s="134"/>
      <c r="U49" s="12"/>
    </row>
    <row r="50" spans="1:21" s="36" customFormat="1" ht="60" hidden="1" customHeight="1" outlineLevel="1" x14ac:dyDescent="0.25">
      <c r="A50" s="42" t="s">
        <v>847</v>
      </c>
      <c r="B50" s="42" t="s">
        <v>60</v>
      </c>
      <c r="C50" s="42" t="s">
        <v>1870</v>
      </c>
      <c r="D50" s="42" t="s">
        <v>1729</v>
      </c>
      <c r="E50" s="12" t="s">
        <v>263</v>
      </c>
      <c r="F50" s="12" t="s">
        <v>243</v>
      </c>
      <c r="G50" s="12"/>
      <c r="H50" s="14"/>
      <c r="I50" s="15"/>
      <c r="J50" s="89" t="str">
        <f>IF(H50&gt;0,(H50*VLOOKUP(Lookups!$K$11,Lookups!$M$10:$P$43,4,0)/VLOOKUP(I50,Lookups!$M$10:$P$43,4,0)),"")</f>
        <v/>
      </c>
      <c r="K50" s="14">
        <v>60611</v>
      </c>
      <c r="L50" s="15" t="s">
        <v>254</v>
      </c>
      <c r="M50" s="89">
        <f>IF(K50&gt;0,(K50*VLOOKUP(Lookups!$K$11,Lookups!$M$10:$P$43,4,0)/VLOOKUP(L50,Lookups!$M$10:$P$43,4,0)),"")</f>
        <v>74635.013106312996</v>
      </c>
      <c r="N50" s="14"/>
      <c r="O50" s="15"/>
      <c r="P50" s="89" t="str">
        <f>IF(N50&gt;0,(N50*VLOOKUP(Lookups!$K$11,Lookups!$M$10:$P$43,4,0)/VLOOKUP(O50,Lookups!$M$10:$P$43,4,0)),"")</f>
        <v/>
      </c>
      <c r="Q50" s="81" t="s">
        <v>3182</v>
      </c>
      <c r="R50" s="15" t="s">
        <v>149</v>
      </c>
      <c r="S50" s="12" t="s">
        <v>2082</v>
      </c>
      <c r="T50" s="134"/>
      <c r="U50" s="12"/>
    </row>
    <row r="51" spans="1:21" s="36" customFormat="1" ht="60" hidden="1" customHeight="1" outlineLevel="1" x14ac:dyDescent="0.25">
      <c r="A51" s="42" t="s">
        <v>847</v>
      </c>
      <c r="B51" s="42" t="s">
        <v>60</v>
      </c>
      <c r="C51" s="42" t="s">
        <v>1871</v>
      </c>
      <c r="D51" s="42" t="s">
        <v>1733</v>
      </c>
      <c r="E51" s="12" t="s">
        <v>263</v>
      </c>
      <c r="F51" s="12" t="s">
        <v>243</v>
      </c>
      <c r="G51" s="12"/>
      <c r="H51" s="14"/>
      <c r="I51" s="15"/>
      <c r="J51" s="89" t="str">
        <f>IF(H51&gt;0,(H51*VLOOKUP(Lookups!$K$11,Lookups!$M$10:$P$43,4,0)/VLOOKUP(I51,Lookups!$M$10:$P$43,4,0)),"")</f>
        <v/>
      </c>
      <c r="K51" s="14">
        <v>91686</v>
      </c>
      <c r="L51" s="15" t="s">
        <v>254</v>
      </c>
      <c r="M51" s="89">
        <f>IF(K51&gt;0,(K51*VLOOKUP(Lookups!$K$11,Lookups!$M$10:$P$43,4,0)/VLOOKUP(L51,Lookups!$M$10:$P$43,4,0)),"")</f>
        <v>112900.06453721954</v>
      </c>
      <c r="N51" s="14"/>
      <c r="O51" s="15"/>
      <c r="P51" s="89" t="str">
        <f>IF(N51&gt;0,(N51*VLOOKUP(Lookups!$K$11,Lookups!$M$10:$P$43,4,0)/VLOOKUP(O51,Lookups!$M$10:$P$43,4,0)),"")</f>
        <v/>
      </c>
      <c r="Q51" s="81" t="s">
        <v>3182</v>
      </c>
      <c r="R51" s="15" t="s">
        <v>149</v>
      </c>
      <c r="S51" s="12" t="s">
        <v>2083</v>
      </c>
      <c r="T51" s="134"/>
      <c r="U51" s="12"/>
    </row>
    <row r="52" spans="1:21" s="36" customFormat="1" ht="60" customHeight="1" collapsed="1" x14ac:dyDescent="0.25">
      <c r="A52" s="38" t="s">
        <v>847</v>
      </c>
      <c r="B52" s="38" t="s">
        <v>60</v>
      </c>
      <c r="C52" s="38" t="s">
        <v>1746</v>
      </c>
      <c r="D52" s="38" t="s">
        <v>1736</v>
      </c>
      <c r="E52" s="12" t="s">
        <v>263</v>
      </c>
      <c r="F52" s="12" t="s">
        <v>243</v>
      </c>
      <c r="G52" s="12"/>
      <c r="H52" s="14"/>
      <c r="I52" s="15"/>
      <c r="J52" s="89" t="str">
        <f>IF(H52&gt;0,(H52*VLOOKUP(Lookups!$K$11,Lookups!$M$10:$P$43,4,0)/VLOOKUP(I52,Lookups!$M$10:$P$43,4,0)),"")</f>
        <v/>
      </c>
      <c r="K52" s="14">
        <v>105485</v>
      </c>
      <c r="L52" s="15" t="s">
        <v>254</v>
      </c>
      <c r="M52" s="89">
        <f>IF(K52&gt;0,(K52*VLOOKUP(Lookups!$K$11,Lookups!$M$10:$P$43,4,0)/VLOOKUP(L52,Lookups!$M$10:$P$43,4,0)),"")</f>
        <v>129891.84071405235</v>
      </c>
      <c r="N52" s="14"/>
      <c r="O52" s="15"/>
      <c r="P52" s="89" t="str">
        <f>IF(N52&gt;0,(N52*VLOOKUP(Lookups!$K$11,Lookups!$M$10:$P$43,4,0)/VLOOKUP(O52,Lookups!$M$10:$P$43,4,0)),"")</f>
        <v/>
      </c>
      <c r="Q52" s="81" t="s">
        <v>3182</v>
      </c>
      <c r="R52" s="15" t="s">
        <v>149</v>
      </c>
      <c r="S52" s="12" t="s">
        <v>2260</v>
      </c>
      <c r="T52" s="134"/>
      <c r="U52" s="12"/>
    </row>
    <row r="53" spans="1:21" s="36" customFormat="1" ht="60" hidden="1" customHeight="1" outlineLevel="1" x14ac:dyDescent="0.25">
      <c r="A53" s="42" t="s">
        <v>847</v>
      </c>
      <c r="B53" s="42" t="s">
        <v>60</v>
      </c>
      <c r="C53" s="42" t="s">
        <v>1748</v>
      </c>
      <c r="D53" s="42" t="s">
        <v>1738</v>
      </c>
      <c r="E53" s="12" t="s">
        <v>263</v>
      </c>
      <c r="F53" s="12" t="s">
        <v>243</v>
      </c>
      <c r="G53" s="12"/>
      <c r="H53" s="14"/>
      <c r="I53" s="15"/>
      <c r="J53" s="89" t="str">
        <f>IF(H53&gt;0,(H53*VLOOKUP(Lookups!$K$11,Lookups!$M$10:$P$43,4,0)/VLOOKUP(I53,Lookups!$M$10:$P$43,4,0)),"")</f>
        <v/>
      </c>
      <c r="K53" s="14">
        <v>54486</v>
      </c>
      <c r="L53" s="15" t="s">
        <v>254</v>
      </c>
      <c r="M53" s="89">
        <f>IF(K53&gt;0,(K53*VLOOKUP(Lookups!$K$11,Lookups!$M$10:$P$43,4,0)/VLOOKUP(L53,Lookups!$M$10:$P$43,4,0)),"")</f>
        <v>67092.82678244164</v>
      </c>
      <c r="N53" s="14"/>
      <c r="O53" s="15"/>
      <c r="P53" s="89" t="str">
        <f>IF(N53&gt;0,(N53*VLOOKUP(Lookups!$K$11,Lookups!$M$10:$P$43,4,0)/VLOOKUP(O53,Lookups!$M$10:$P$43,4,0)),"")</f>
        <v/>
      </c>
      <c r="Q53" s="81" t="s">
        <v>3182</v>
      </c>
      <c r="R53" s="15" t="s">
        <v>149</v>
      </c>
      <c r="S53" s="12" t="s">
        <v>2084</v>
      </c>
      <c r="T53" s="134"/>
      <c r="U53" s="12"/>
    </row>
    <row r="54" spans="1:21" s="36" customFormat="1" ht="60" hidden="1" customHeight="1" outlineLevel="1" x14ac:dyDescent="0.25">
      <c r="A54" s="42" t="s">
        <v>847</v>
      </c>
      <c r="B54" s="42" t="s">
        <v>60</v>
      </c>
      <c r="C54" s="42" t="s">
        <v>2306</v>
      </c>
      <c r="D54" s="42" t="s">
        <v>1722</v>
      </c>
      <c r="E54" s="12" t="s">
        <v>263</v>
      </c>
      <c r="F54" s="12" t="s">
        <v>243</v>
      </c>
      <c r="G54" s="12"/>
      <c r="H54" s="14"/>
      <c r="I54" s="15"/>
      <c r="J54" s="89" t="str">
        <f>IF(H54&gt;0,(H54*VLOOKUP(Lookups!$K$11,Lookups!$M$10:$P$43,4,0)/VLOOKUP(I54,Lookups!$M$10:$P$43,4,0)),"")</f>
        <v/>
      </c>
      <c r="K54" s="14">
        <v>110395</v>
      </c>
      <c r="L54" s="15" t="s">
        <v>254</v>
      </c>
      <c r="M54" s="89">
        <f>IF(K54&gt;0,(K54*VLOOKUP(Lookups!$K$11,Lookups!$M$10:$P$43,4,0)/VLOOKUP(L54,Lookups!$M$10:$P$43,4,0)),"")</f>
        <v>135937.90354673946</v>
      </c>
      <c r="N54" s="14"/>
      <c r="O54" s="15"/>
      <c r="P54" s="89" t="str">
        <f>IF(N54&gt;0,(N54*VLOOKUP(Lookups!$K$11,Lookups!$M$10:$P$43,4,0)/VLOOKUP(O54,Lookups!$M$10:$P$43,4,0)),"")</f>
        <v/>
      </c>
      <c r="Q54" s="81" t="s">
        <v>3182</v>
      </c>
      <c r="R54" s="15" t="s">
        <v>149</v>
      </c>
      <c r="S54" s="12" t="s">
        <v>2085</v>
      </c>
      <c r="T54" s="134"/>
      <c r="U54" s="12"/>
    </row>
    <row r="55" spans="1:21" s="36" customFormat="1" ht="60" hidden="1" customHeight="1" outlineLevel="1" x14ac:dyDescent="0.25">
      <c r="A55" s="42" t="s">
        <v>847</v>
      </c>
      <c r="B55" s="42" t="s">
        <v>60</v>
      </c>
      <c r="C55" s="42" t="s">
        <v>2307</v>
      </c>
      <c r="D55" s="42" t="s">
        <v>1724</v>
      </c>
      <c r="E55" s="12" t="s">
        <v>263</v>
      </c>
      <c r="F55" s="12" t="s">
        <v>243</v>
      </c>
      <c r="G55" s="12"/>
      <c r="H55" s="14"/>
      <c r="I55" s="15"/>
      <c r="J55" s="89" t="str">
        <f>IF(H55&gt;0,(H55*VLOOKUP(Lookups!$K$11,Lookups!$M$10:$P$43,4,0)/VLOOKUP(I55,Lookups!$M$10:$P$43,4,0)),"")</f>
        <v/>
      </c>
      <c r="K55" s="14">
        <v>51055</v>
      </c>
      <c r="L55" s="15" t="s">
        <v>254</v>
      </c>
      <c r="M55" s="89">
        <f>IF(K55&gt;0,(K55*VLOOKUP(Lookups!$K$11,Lookups!$M$10:$P$43,4,0)/VLOOKUP(L55,Lookups!$M$10:$P$43,4,0)),"")</f>
        <v>62867.971063714678</v>
      </c>
      <c r="N55" s="14"/>
      <c r="O55" s="15"/>
      <c r="P55" s="89" t="str">
        <f>IF(N55&gt;0,(N55*VLOOKUP(Lookups!$K$11,Lookups!$M$10:$P$43,4,0)/VLOOKUP(O55,Lookups!$M$10:$P$43,4,0)),"")</f>
        <v/>
      </c>
      <c r="Q55" s="81" t="s">
        <v>3182</v>
      </c>
      <c r="R55" s="15" t="s">
        <v>149</v>
      </c>
      <c r="S55" s="12" t="s">
        <v>1891</v>
      </c>
      <c r="T55" s="134"/>
      <c r="U55" s="12"/>
    </row>
    <row r="56" spans="1:21" s="36" customFormat="1" ht="60" hidden="1" customHeight="1" outlineLevel="1" x14ac:dyDescent="0.25">
      <c r="A56" s="42" t="s">
        <v>847</v>
      </c>
      <c r="B56" s="42" t="s">
        <v>60</v>
      </c>
      <c r="C56" s="42" t="s">
        <v>2308</v>
      </c>
      <c r="D56" s="42" t="s">
        <v>1728</v>
      </c>
      <c r="E56" s="12" t="s">
        <v>263</v>
      </c>
      <c r="F56" s="12" t="s">
        <v>243</v>
      </c>
      <c r="G56" s="12"/>
      <c r="H56" s="14"/>
      <c r="I56" s="15"/>
      <c r="J56" s="89" t="str">
        <f>IF(H56&gt;0,(H56*VLOOKUP(Lookups!$K$11,Lookups!$M$10:$P$43,4,0)/VLOOKUP(I56,Lookups!$M$10:$P$43,4,0)),"")</f>
        <v/>
      </c>
      <c r="K56" s="14">
        <v>55455</v>
      </c>
      <c r="L56" s="15" t="s">
        <v>254</v>
      </c>
      <c r="M56" s="89">
        <f>IF(K56&gt;0,(K56*VLOOKUP(Lookups!$K$11,Lookups!$M$10:$P$43,4,0)/VLOOKUP(L56,Lookups!$M$10:$P$43,4,0)),"")</f>
        <v>68286.031443312066</v>
      </c>
      <c r="N56" s="14"/>
      <c r="O56" s="15"/>
      <c r="P56" s="89" t="str">
        <f>IF(N56&gt;0,(N56*VLOOKUP(Lookups!$K$11,Lookups!$M$10:$P$43,4,0)/VLOOKUP(O56,Lookups!$M$10:$P$43,4,0)),"")</f>
        <v/>
      </c>
      <c r="Q56" s="81" t="s">
        <v>3182</v>
      </c>
      <c r="R56" s="15" t="s">
        <v>149</v>
      </c>
      <c r="S56" s="12" t="s">
        <v>2086</v>
      </c>
      <c r="T56" s="134"/>
      <c r="U56" s="12"/>
    </row>
    <row r="57" spans="1:21" s="36" customFormat="1" ht="60" hidden="1" customHeight="1" outlineLevel="1" x14ac:dyDescent="0.25">
      <c r="A57" s="42" t="s">
        <v>847</v>
      </c>
      <c r="B57" s="42" t="s">
        <v>60</v>
      </c>
      <c r="C57" s="42" t="s">
        <v>2309</v>
      </c>
      <c r="D57" s="42" t="s">
        <v>1732</v>
      </c>
      <c r="E57" s="12" t="s">
        <v>263</v>
      </c>
      <c r="F57" s="12" t="s">
        <v>243</v>
      </c>
      <c r="G57" s="12"/>
      <c r="H57" s="14"/>
      <c r="I57" s="15"/>
      <c r="J57" s="89" t="str">
        <f>IF(H57&gt;0,(H57*VLOOKUP(Lookups!$K$11,Lookups!$M$10:$P$43,4,0)/VLOOKUP(I57,Lookups!$M$10:$P$43,4,0)),"")</f>
        <v/>
      </c>
      <c r="K57" s="14">
        <v>32592</v>
      </c>
      <c r="L57" s="15" t="s">
        <v>254</v>
      </c>
      <c r="M57" s="89">
        <f>IF(K57&gt;0,(K57*VLOOKUP(Lookups!$K$11,Lookups!$M$10:$P$43,4,0)/VLOOKUP(L57,Lookups!$M$10:$P$43,4,0)),"")</f>
        <v>40133.050884508644</v>
      </c>
      <c r="N57" s="14"/>
      <c r="O57" s="15"/>
      <c r="P57" s="89" t="str">
        <f>IF(N57&gt;0,(N57*VLOOKUP(Lookups!$K$11,Lookups!$M$10:$P$43,4,0)/VLOOKUP(O57,Lookups!$M$10:$P$43,4,0)),"")</f>
        <v/>
      </c>
      <c r="Q57" s="81" t="s">
        <v>3182</v>
      </c>
      <c r="R57" s="15" t="s">
        <v>149</v>
      </c>
      <c r="S57" s="12" t="s">
        <v>2261</v>
      </c>
      <c r="T57" s="134"/>
      <c r="U57" s="12"/>
    </row>
    <row r="58" spans="1:21" s="36" customFormat="1" ht="60" hidden="1" customHeight="1" outlineLevel="1" x14ac:dyDescent="0.25">
      <c r="A58" s="42" t="s">
        <v>847</v>
      </c>
      <c r="B58" s="42" t="s">
        <v>60</v>
      </c>
      <c r="C58" s="42" t="s">
        <v>2310</v>
      </c>
      <c r="D58" s="42" t="s">
        <v>1726</v>
      </c>
      <c r="E58" s="12" t="s">
        <v>263</v>
      </c>
      <c r="F58" s="12" t="s">
        <v>243</v>
      </c>
      <c r="G58" s="12"/>
      <c r="H58" s="14"/>
      <c r="I58" s="15"/>
      <c r="J58" s="89" t="str">
        <f>IF(H58&gt;0,(H58*VLOOKUP(Lookups!$K$11,Lookups!$M$10:$P$43,4,0)/VLOOKUP(I58,Lookups!$M$10:$P$43,4,0)),"")</f>
        <v/>
      </c>
      <c r="K58" s="14">
        <v>28432</v>
      </c>
      <c r="L58" s="15" t="s">
        <v>254</v>
      </c>
      <c r="M58" s="89">
        <f>IF(K58&gt;0,(K58*VLOOKUP(Lookups!$K$11,Lookups!$M$10:$P$43,4,0)/VLOOKUP(L58,Lookups!$M$10:$P$43,4,0)),"")</f>
        <v>35010.521071071111</v>
      </c>
      <c r="N58" s="14"/>
      <c r="O58" s="15"/>
      <c r="P58" s="89" t="str">
        <f>IF(N58&gt;0,(N58*VLOOKUP(Lookups!$K$11,Lookups!$M$10:$P$43,4,0)/VLOOKUP(O58,Lookups!$M$10:$P$43,4,0)),"")</f>
        <v/>
      </c>
      <c r="Q58" s="81" t="s">
        <v>3182</v>
      </c>
      <c r="R58" s="15" t="s">
        <v>149</v>
      </c>
      <c r="S58" s="12" t="s">
        <v>2087</v>
      </c>
      <c r="T58" s="134"/>
      <c r="U58" s="12"/>
    </row>
    <row r="59" spans="1:21" s="36" customFormat="1" ht="60" hidden="1" customHeight="1" outlineLevel="1" x14ac:dyDescent="0.25">
      <c r="A59" s="42" t="s">
        <v>847</v>
      </c>
      <c r="B59" s="42" t="s">
        <v>60</v>
      </c>
      <c r="C59" s="42" t="s">
        <v>2311</v>
      </c>
      <c r="D59" s="42" t="s">
        <v>1730</v>
      </c>
      <c r="E59" s="12" t="s">
        <v>263</v>
      </c>
      <c r="F59" s="12" t="s">
        <v>243</v>
      </c>
      <c r="G59" s="12"/>
      <c r="H59" s="14"/>
      <c r="I59" s="15"/>
      <c r="J59" s="89" t="str">
        <f>IF(H59&gt;0,(H59*VLOOKUP(Lookups!$K$11,Lookups!$M$10:$P$43,4,0)/VLOOKUP(I59,Lookups!$M$10:$P$43,4,0)),"")</f>
        <v/>
      </c>
      <c r="K59" s="14">
        <v>59019</v>
      </c>
      <c r="L59" s="15" t="s">
        <v>254</v>
      </c>
      <c r="M59" s="89">
        <f>IF(K59&gt;0,(K59*VLOOKUP(Lookups!$K$11,Lookups!$M$10:$P$43,4,0)/VLOOKUP(L59,Lookups!$M$10:$P$43,4,0)),"")</f>
        <v>72674.66035078594</v>
      </c>
      <c r="N59" s="14"/>
      <c r="O59" s="15"/>
      <c r="P59" s="89" t="str">
        <f>IF(N59&gt;0,(N59*VLOOKUP(Lookups!$K$11,Lookups!$M$10:$P$43,4,0)/VLOOKUP(O59,Lookups!$M$10:$P$43,4,0)),"")</f>
        <v/>
      </c>
      <c r="Q59" s="81" t="s">
        <v>3182</v>
      </c>
      <c r="R59" s="15" t="s">
        <v>149</v>
      </c>
      <c r="S59" s="12" t="s">
        <v>2088</v>
      </c>
      <c r="T59" s="134"/>
      <c r="U59" s="12"/>
    </row>
    <row r="60" spans="1:21" s="36" customFormat="1" ht="60" hidden="1" customHeight="1" outlineLevel="1" x14ac:dyDescent="0.25">
      <c r="A60" s="42" t="s">
        <v>847</v>
      </c>
      <c r="B60" s="42" t="s">
        <v>60</v>
      </c>
      <c r="C60" s="42" t="s">
        <v>2312</v>
      </c>
      <c r="D60" s="42" t="s">
        <v>1734</v>
      </c>
      <c r="E60" s="12" t="s">
        <v>263</v>
      </c>
      <c r="F60" s="12" t="s">
        <v>243</v>
      </c>
      <c r="G60" s="12"/>
      <c r="H60" s="14"/>
      <c r="I60" s="15"/>
      <c r="J60" s="89" t="str">
        <f>IF(H60&gt;0,(H60*VLOOKUP(Lookups!$K$11,Lookups!$M$10:$P$43,4,0)/VLOOKUP(I60,Lookups!$M$10:$P$43,4,0)),"")</f>
        <v/>
      </c>
      <c r="K60" s="14">
        <v>36147</v>
      </c>
      <c r="L60" s="15" t="s">
        <v>254</v>
      </c>
      <c r="M60" s="89">
        <f>IF(K60&gt;0,(K60*VLOOKUP(Lookups!$K$11,Lookups!$M$10:$P$43,4,0)/VLOOKUP(L60,Lookups!$M$10:$P$43,4,0)),"")</f>
        <v>44510.597395751538</v>
      </c>
      <c r="N60" s="14"/>
      <c r="O60" s="15"/>
      <c r="P60" s="89" t="str">
        <f>IF(N60&gt;0,(N60*VLOOKUP(Lookups!$K$11,Lookups!$M$10:$P$43,4,0)/VLOOKUP(O60,Lookups!$M$10:$P$43,4,0)),"")</f>
        <v/>
      </c>
      <c r="Q60" s="81" t="s">
        <v>3182</v>
      </c>
      <c r="R60" s="15" t="s">
        <v>149</v>
      </c>
      <c r="S60" s="12" t="s">
        <v>2089</v>
      </c>
      <c r="T60" s="134"/>
      <c r="U60" s="12"/>
    </row>
    <row r="61" spans="1:21" s="36" customFormat="1" ht="60" customHeight="1" collapsed="1" x14ac:dyDescent="0.25">
      <c r="A61" s="38" t="s">
        <v>847</v>
      </c>
      <c r="B61" s="38" t="s">
        <v>60</v>
      </c>
      <c r="C61" s="38" t="s">
        <v>1857</v>
      </c>
      <c r="D61" s="38" t="s">
        <v>1739</v>
      </c>
      <c r="E61" s="12" t="s">
        <v>263</v>
      </c>
      <c r="F61" s="12" t="s">
        <v>243</v>
      </c>
      <c r="G61" s="12"/>
      <c r="H61" s="14"/>
      <c r="I61" s="15"/>
      <c r="J61" s="89" t="str">
        <f>IF(H61&gt;0,(H61*VLOOKUP(Lookups!$K$11,Lookups!$M$10:$P$43,4,0)/VLOOKUP(I61,Lookups!$M$10:$P$43,4,0)),"")</f>
        <v/>
      </c>
      <c r="K61" s="14">
        <v>90020</v>
      </c>
      <c r="L61" s="15" t="s">
        <v>254</v>
      </c>
      <c r="M61" s="89">
        <f>IF(K61&gt;0,(K61*VLOOKUP(Lookups!$K$11,Lookups!$M$10:$P$43,4,0)/VLOOKUP(L61,Lookups!$M$10:$P$43,4,0)),"")</f>
        <v>110848.58985712653</v>
      </c>
      <c r="N61" s="14"/>
      <c r="O61" s="15"/>
      <c r="P61" s="89" t="str">
        <f>IF(N61&gt;0,(N61*VLOOKUP(Lookups!$K$11,Lookups!$M$10:$P$43,4,0)/VLOOKUP(O61,Lookups!$M$10:$P$43,4,0)),"")</f>
        <v/>
      </c>
      <c r="Q61" s="81" t="s">
        <v>3182</v>
      </c>
      <c r="R61" s="15" t="s">
        <v>149</v>
      </c>
      <c r="S61" s="12" t="s">
        <v>1892</v>
      </c>
      <c r="T61" s="134"/>
      <c r="U61" s="12"/>
    </row>
    <row r="62" spans="1:21" s="36" customFormat="1" ht="60" hidden="1" customHeight="1" outlineLevel="1" x14ac:dyDescent="0.25">
      <c r="A62" s="42" t="s">
        <v>847</v>
      </c>
      <c r="B62" s="42" t="s">
        <v>60</v>
      </c>
      <c r="C62" s="42" t="s">
        <v>1858</v>
      </c>
      <c r="D62" s="42" t="s">
        <v>1741</v>
      </c>
      <c r="E62" s="12" t="s">
        <v>263</v>
      </c>
      <c r="F62" s="12" t="s">
        <v>243</v>
      </c>
      <c r="G62" s="12"/>
      <c r="H62" s="14"/>
      <c r="I62" s="15"/>
      <c r="J62" s="89" t="str">
        <f>IF(H62&gt;0,(H62*VLOOKUP(Lookups!$K$11,Lookups!$M$10:$P$43,4,0)/VLOOKUP(I62,Lookups!$M$10:$P$43,4,0)),"")</f>
        <v/>
      </c>
      <c r="K62" s="14">
        <v>57973</v>
      </c>
      <c r="L62" s="15" t="s">
        <v>254</v>
      </c>
      <c r="M62" s="89">
        <f>IF(K62&gt;0,(K62*VLOOKUP(Lookups!$K$11,Lookups!$M$10:$P$43,4,0)/VLOOKUP(L62,Lookups!$M$10:$P$43,4,0)),"")</f>
        <v>71386.639633272571</v>
      </c>
      <c r="N62" s="14"/>
      <c r="O62" s="15"/>
      <c r="P62" s="89" t="str">
        <f>IF(N62&gt;0,(N62*VLOOKUP(Lookups!$K$11,Lookups!$M$10:$P$43,4,0)/VLOOKUP(O62,Lookups!$M$10:$P$43,4,0)),"")</f>
        <v/>
      </c>
      <c r="Q62" s="81" t="s">
        <v>3182</v>
      </c>
      <c r="R62" s="15" t="s">
        <v>149</v>
      </c>
      <c r="S62" s="12" t="s">
        <v>2262</v>
      </c>
      <c r="T62" s="134"/>
      <c r="U62" s="12"/>
    </row>
    <row r="63" spans="1:21" s="36" customFormat="1" ht="60" customHeight="1" collapsed="1" x14ac:dyDescent="0.25">
      <c r="A63" s="38" t="s">
        <v>847</v>
      </c>
      <c r="B63" s="38" t="s">
        <v>60</v>
      </c>
      <c r="C63" s="38" t="s">
        <v>1859</v>
      </c>
      <c r="D63" s="38" t="s">
        <v>1740</v>
      </c>
      <c r="E63" s="12" t="s">
        <v>263</v>
      </c>
      <c r="F63" s="12" t="s">
        <v>243</v>
      </c>
      <c r="G63" s="12"/>
      <c r="H63" s="14"/>
      <c r="I63" s="15"/>
      <c r="J63" s="89" t="str">
        <f>IF(H63&gt;0,(H63*VLOOKUP(Lookups!$K$11,Lookups!$M$10:$P$43,4,0)/VLOOKUP(I63,Lookups!$M$10:$P$43,4,0)),"")</f>
        <v/>
      </c>
      <c r="K63" s="14">
        <v>76099</v>
      </c>
      <c r="L63" s="15" t="s">
        <v>254</v>
      </c>
      <c r="M63" s="89">
        <f>IF(K63&gt;0,(K63*VLOOKUP(Lookups!$K$11,Lookups!$M$10:$P$43,4,0)/VLOOKUP(L63,Lookups!$M$10:$P$43,4,0)),"")</f>
        <v>93706.585642495804</v>
      </c>
      <c r="N63" s="14"/>
      <c r="O63" s="15"/>
      <c r="P63" s="89" t="str">
        <f>IF(N63&gt;0,(N63*VLOOKUP(Lookups!$K$11,Lookups!$M$10:$P$43,4,0)/VLOOKUP(O63,Lookups!$M$10:$P$43,4,0)),"")</f>
        <v/>
      </c>
      <c r="Q63" s="81" t="s">
        <v>3182</v>
      </c>
      <c r="R63" s="15" t="s">
        <v>149</v>
      </c>
      <c r="S63" s="12" t="s">
        <v>1893</v>
      </c>
      <c r="T63" s="134"/>
      <c r="U63" s="12"/>
    </row>
    <row r="64" spans="1:21" s="36" customFormat="1" ht="60" hidden="1" customHeight="1" outlineLevel="1" x14ac:dyDescent="0.25">
      <c r="A64" s="42" t="s">
        <v>847</v>
      </c>
      <c r="B64" s="42" t="s">
        <v>60</v>
      </c>
      <c r="C64" s="42" t="s">
        <v>1860</v>
      </c>
      <c r="D64" s="42" t="s">
        <v>1742</v>
      </c>
      <c r="E64" s="12" t="s">
        <v>263</v>
      </c>
      <c r="F64" s="12" t="s">
        <v>243</v>
      </c>
      <c r="G64" s="12"/>
      <c r="H64" s="14"/>
      <c r="I64" s="15"/>
      <c r="J64" s="89" t="str">
        <f>IF(H64&gt;0,(H64*VLOOKUP(Lookups!$K$11,Lookups!$M$10:$P$43,4,0)/VLOOKUP(I64,Lookups!$M$10:$P$43,4,0)),"")</f>
        <v/>
      </c>
      <c r="K64" s="14">
        <v>42982</v>
      </c>
      <c r="L64" s="15" t="s">
        <v>254</v>
      </c>
      <c r="M64" s="89">
        <f>IF(K64&gt;0,(K64*VLOOKUP(Lookups!$K$11,Lookups!$M$10:$P$43,4,0)/VLOOKUP(L64,Lookups!$M$10:$P$43,4,0)),"")</f>
        <v>52927.061644512476</v>
      </c>
      <c r="N64" s="14"/>
      <c r="O64" s="15"/>
      <c r="P64" s="89" t="str">
        <f>IF(N64&gt;0,(N64*VLOOKUP(Lookups!$K$11,Lookups!$M$10:$P$43,4,0)/VLOOKUP(O64,Lookups!$M$10:$P$43,4,0)),"")</f>
        <v/>
      </c>
      <c r="Q64" s="81" t="s">
        <v>3182</v>
      </c>
      <c r="R64" s="15" t="s">
        <v>149</v>
      </c>
      <c r="S64" s="12" t="s">
        <v>2263</v>
      </c>
      <c r="T64" s="134"/>
      <c r="U64" s="12"/>
    </row>
    <row r="65" spans="1:21" s="36" customFormat="1" ht="60" customHeight="1" collapsed="1" x14ac:dyDescent="0.25">
      <c r="A65" s="38" t="s">
        <v>847</v>
      </c>
      <c r="B65" s="38" t="s">
        <v>235</v>
      </c>
      <c r="C65" s="38" t="s">
        <v>1872</v>
      </c>
      <c r="D65" s="38" t="s">
        <v>1847</v>
      </c>
      <c r="E65" s="12" t="s">
        <v>1848</v>
      </c>
      <c r="F65" s="12" t="s">
        <v>210</v>
      </c>
      <c r="G65" s="12"/>
      <c r="H65" s="14">
        <v>10327</v>
      </c>
      <c r="I65" s="15" t="s">
        <v>254</v>
      </c>
      <c r="J65" s="89">
        <f>IF(H65&gt;0,(H65*VLOOKUP(Lookups!$K$11,Lookups!$M$10:$P$43,4,0)/VLOOKUP(I65,Lookups!$M$10:$P$43,4,0)),"")</f>
        <v>12716.433986386868</v>
      </c>
      <c r="K65" s="14"/>
      <c r="L65" s="15"/>
      <c r="M65" s="89" t="str">
        <f>IF(K65&gt;0,(K65*VLOOKUP(Lookups!$K$11,Lookups!$M$10:$P$43,4,0)/VLOOKUP(L65,Lookups!$M$10:$P$43,4,0)),"")</f>
        <v/>
      </c>
      <c r="N65" s="14"/>
      <c r="O65" s="15"/>
      <c r="P65" s="89" t="str">
        <f>IF(N65&gt;0,(N65*VLOOKUP(Lookups!$K$11,Lookups!$M$10:$P$43,4,0)/VLOOKUP(O65,Lookups!$M$10:$P$43,4,0)),"")</f>
        <v/>
      </c>
      <c r="Q65" s="81" t="s">
        <v>3192</v>
      </c>
      <c r="R65" s="15" t="s">
        <v>149</v>
      </c>
      <c r="S65" s="12" t="s">
        <v>2265</v>
      </c>
      <c r="T65" s="134"/>
      <c r="U65" s="12"/>
    </row>
    <row r="66" spans="1:21" s="36" customFormat="1" ht="60" hidden="1" customHeight="1" outlineLevel="1" x14ac:dyDescent="0.25">
      <c r="A66" s="42" t="s">
        <v>847</v>
      </c>
      <c r="B66" s="42" t="s">
        <v>235</v>
      </c>
      <c r="C66" s="42" t="s">
        <v>1873</v>
      </c>
      <c r="D66" s="42" t="s">
        <v>1849</v>
      </c>
      <c r="E66" s="12" t="s">
        <v>1850</v>
      </c>
      <c r="F66" s="12" t="s">
        <v>210</v>
      </c>
      <c r="G66" s="12"/>
      <c r="H66" s="14">
        <v>12</v>
      </c>
      <c r="I66" s="15" t="s">
        <v>254</v>
      </c>
      <c r="J66" s="89">
        <f>IF(H66&gt;0,(H66*VLOOKUP(Lookups!$K$11,Lookups!$M$10:$P$43,4,0)/VLOOKUP(I66,Lookups!$M$10:$P$43,4,0)),"")</f>
        <v>14.776528307992873</v>
      </c>
      <c r="K66" s="14"/>
      <c r="L66" s="15"/>
      <c r="M66" s="89" t="str">
        <f>IF(K66&gt;0,(K66*VLOOKUP(Lookups!$K$11,Lookups!$M$10:$P$43,4,0)/VLOOKUP(L66,Lookups!$M$10:$P$43,4,0)),"")</f>
        <v/>
      </c>
      <c r="N66" s="14"/>
      <c r="O66" s="15"/>
      <c r="P66" s="89" t="str">
        <f>IF(N66&gt;0,(N66*VLOOKUP(Lookups!$K$11,Lookups!$M$10:$P$43,4,0)/VLOOKUP(O66,Lookups!$M$10:$P$43,4,0)),"")</f>
        <v/>
      </c>
      <c r="Q66" s="81" t="s">
        <v>3192</v>
      </c>
      <c r="R66" s="15" t="s">
        <v>149</v>
      </c>
      <c r="S66" s="12" t="s">
        <v>1851</v>
      </c>
      <c r="T66" s="134"/>
      <c r="U66" s="12"/>
    </row>
    <row r="67" spans="1:21" s="36" customFormat="1" ht="60" customHeight="1" collapsed="1" x14ac:dyDescent="0.25">
      <c r="A67" s="38" t="s">
        <v>847</v>
      </c>
      <c r="B67" s="38" t="s">
        <v>1852</v>
      </c>
      <c r="C67" s="38" t="s">
        <v>1874</v>
      </c>
      <c r="D67" s="38" t="s">
        <v>1853</v>
      </c>
      <c r="E67" s="12" t="s">
        <v>156</v>
      </c>
      <c r="F67" s="12" t="s">
        <v>210</v>
      </c>
      <c r="G67" s="12"/>
      <c r="H67" s="14">
        <v>4.12</v>
      </c>
      <c r="I67" s="15" t="s">
        <v>254</v>
      </c>
      <c r="J67" s="89">
        <f>IF(H67&gt;0,(H67*VLOOKUP(Lookups!$K$11,Lookups!$M$10:$P$43,4,0)/VLOOKUP(I67,Lookups!$M$10:$P$43,4,0)),"")</f>
        <v>5.0732747190775536</v>
      </c>
      <c r="K67" s="14"/>
      <c r="L67" s="15"/>
      <c r="M67" s="89" t="str">
        <f>IF(K67&gt;0,(K67*VLOOKUP(Lookups!$K$11,Lookups!$M$10:$P$43,4,0)/VLOOKUP(L67,Lookups!$M$10:$P$43,4,0)),"")</f>
        <v/>
      </c>
      <c r="N67" s="14"/>
      <c r="O67" s="15"/>
      <c r="P67" s="89" t="str">
        <f>IF(N67&gt;0,(N67*VLOOKUP(Lookups!$K$11,Lookups!$M$10:$P$43,4,0)/VLOOKUP(O67,Lookups!$M$10:$P$43,4,0)),"")</f>
        <v/>
      </c>
      <c r="Q67" s="81" t="s">
        <v>3194</v>
      </c>
      <c r="R67" s="15" t="s">
        <v>149</v>
      </c>
      <c r="S67" s="12" t="s">
        <v>2266</v>
      </c>
      <c r="T67" s="134"/>
      <c r="U67" s="12"/>
    </row>
    <row r="68" spans="1:21" s="36" customFormat="1" ht="60" hidden="1" customHeight="1" outlineLevel="1" x14ac:dyDescent="0.25">
      <c r="A68" s="42" t="s">
        <v>847</v>
      </c>
      <c r="B68" s="42" t="s">
        <v>1852</v>
      </c>
      <c r="C68" s="42" t="s">
        <v>1875</v>
      </c>
      <c r="D68" s="42" t="s">
        <v>1854</v>
      </c>
      <c r="E68" s="12" t="s">
        <v>651</v>
      </c>
      <c r="F68" s="12" t="s">
        <v>210</v>
      </c>
      <c r="G68" s="12"/>
      <c r="H68" s="14">
        <v>71.67</v>
      </c>
      <c r="I68" s="15" t="s">
        <v>254</v>
      </c>
      <c r="J68" s="89">
        <f>IF(H68&gt;0,(H68*VLOOKUP(Lookups!$K$11,Lookups!$M$10:$P$43,4,0)/VLOOKUP(I68,Lookups!$M$10:$P$43,4,0)),"")</f>
        <v>88.252815319487439</v>
      </c>
      <c r="K68" s="14"/>
      <c r="L68" s="15"/>
      <c r="M68" s="89" t="str">
        <f>IF(K68&gt;0,(K68*VLOOKUP(Lookups!$K$11,Lookups!$M$10:$P$43,4,0)/VLOOKUP(L68,Lookups!$M$10:$P$43,4,0)),"")</f>
        <v/>
      </c>
      <c r="N68" s="14"/>
      <c r="O68" s="15"/>
      <c r="P68" s="89" t="str">
        <f>IF(N68&gt;0,(N68*VLOOKUP(Lookups!$K$11,Lookups!$M$10:$P$43,4,0)/VLOOKUP(O68,Lookups!$M$10:$P$43,4,0)),"")</f>
        <v/>
      </c>
      <c r="Q68" s="81" t="s">
        <v>3195</v>
      </c>
      <c r="R68" s="15" t="s">
        <v>149</v>
      </c>
      <c r="S68" s="12" t="s">
        <v>2267</v>
      </c>
      <c r="T68" s="134"/>
      <c r="U68" s="12"/>
    </row>
    <row r="69" spans="1:21" s="36" customFormat="1" ht="60" hidden="1" customHeight="1" outlineLevel="1" x14ac:dyDescent="0.25">
      <c r="A69" s="42" t="s">
        <v>847</v>
      </c>
      <c r="B69" s="42" t="s">
        <v>1852</v>
      </c>
      <c r="C69" s="42" t="s">
        <v>1876</v>
      </c>
      <c r="D69" s="42" t="s">
        <v>1855</v>
      </c>
      <c r="E69" s="12" t="s">
        <v>1856</v>
      </c>
      <c r="F69" s="12" t="s">
        <v>210</v>
      </c>
      <c r="G69" s="12"/>
      <c r="H69" s="14">
        <v>102.82</v>
      </c>
      <c r="I69" s="15" t="s">
        <v>254</v>
      </c>
      <c r="J69" s="89">
        <f>IF(H69&gt;0,(H69*VLOOKUP(Lookups!$K$11,Lookups!$M$10:$P$43,4,0)/VLOOKUP(I69,Lookups!$M$10:$P$43,4,0)),"")</f>
        <v>126.61022005231894</v>
      </c>
      <c r="K69" s="14"/>
      <c r="L69" s="15"/>
      <c r="M69" s="89" t="str">
        <f>IF(K69&gt;0,(K69*VLOOKUP(Lookups!$K$11,Lookups!$M$10:$P$43,4,0)/VLOOKUP(L69,Lookups!$M$10:$P$43,4,0)),"")</f>
        <v/>
      </c>
      <c r="N69" s="14"/>
      <c r="O69" s="15"/>
      <c r="P69" s="89" t="str">
        <f>IF(N69&gt;0,(N69*VLOOKUP(Lookups!$K$11,Lookups!$M$10:$P$43,4,0)/VLOOKUP(O69,Lookups!$M$10:$P$43,4,0)),"")</f>
        <v/>
      </c>
      <c r="Q69" s="81" t="s">
        <v>3196</v>
      </c>
      <c r="R69" s="15" t="s">
        <v>149</v>
      </c>
      <c r="S69" s="12" t="s">
        <v>2268</v>
      </c>
      <c r="T69" s="134"/>
      <c r="U69" s="12"/>
    </row>
    <row r="70" spans="1:21" s="36" customFormat="1" ht="60" customHeight="1" collapsed="1" x14ac:dyDescent="0.25">
      <c r="A70" s="38" t="s">
        <v>847</v>
      </c>
      <c r="B70" s="38" t="s">
        <v>1877</v>
      </c>
      <c r="C70" s="38" t="s">
        <v>2313</v>
      </c>
      <c r="D70" s="38" t="s">
        <v>1878</v>
      </c>
      <c r="E70" s="12" t="s">
        <v>167</v>
      </c>
      <c r="F70" s="12" t="s">
        <v>210</v>
      </c>
      <c r="G70" s="12"/>
      <c r="H70" s="14">
        <v>47021</v>
      </c>
      <c r="I70" s="15" t="s">
        <v>259</v>
      </c>
      <c r="J70" s="89">
        <f>IF(H70&gt;0,(H70*VLOOKUP(Lookups!$K$11,Lookups!$M$10:$P$43,4,0)/VLOOKUP(I70,Lookups!$M$10:$P$43,4,0)),"")</f>
        <v>53476.820934198877</v>
      </c>
      <c r="K70" s="14"/>
      <c r="L70" s="15"/>
      <c r="M70" s="89" t="str">
        <f>IF(K70&gt;0,(K70*VLOOKUP(Lookups!$K$11,Lookups!$M$10:$P$43,4,0)/VLOOKUP(L70,Lookups!$M$10:$P$43,4,0)),"")</f>
        <v/>
      </c>
      <c r="N70" s="14"/>
      <c r="O70" s="15"/>
      <c r="P70" s="89" t="str">
        <f>IF(N70&gt;0,(N70*VLOOKUP(Lookups!$K$11,Lookups!$M$10:$P$43,4,0)/VLOOKUP(O70,Lookups!$M$10:$P$43,4,0)),"")</f>
        <v/>
      </c>
      <c r="Q70" s="81" t="s">
        <v>3193</v>
      </c>
      <c r="R70" s="15" t="s">
        <v>152</v>
      </c>
      <c r="S70" s="12" t="s">
        <v>1879</v>
      </c>
      <c r="T70" s="134"/>
      <c r="U70" s="12"/>
    </row>
    <row r="71" spans="1:21" s="36" customFormat="1" ht="60" hidden="1" customHeight="1" outlineLevel="1" x14ac:dyDescent="0.25">
      <c r="A71" s="42" t="s">
        <v>847</v>
      </c>
      <c r="B71" s="42" t="s">
        <v>1877</v>
      </c>
      <c r="C71" s="42" t="s">
        <v>2314</v>
      </c>
      <c r="D71" s="42" t="s">
        <v>1880</v>
      </c>
      <c r="E71" s="12" t="s">
        <v>167</v>
      </c>
      <c r="F71" s="12" t="s">
        <v>210</v>
      </c>
      <c r="G71" s="12"/>
      <c r="H71" s="14">
        <v>45563</v>
      </c>
      <c r="I71" s="15" t="s">
        <v>259</v>
      </c>
      <c r="J71" s="89">
        <f>IF(H71&gt;0,(H71*VLOOKUP(Lookups!$K$11,Lookups!$M$10:$P$43,4,0)/VLOOKUP(I71,Lookups!$M$10:$P$43,4,0)),"")</f>
        <v>51818.642568743824</v>
      </c>
      <c r="K71" s="14"/>
      <c r="L71" s="15"/>
      <c r="M71" s="89" t="str">
        <f>IF(K71&gt;0,(K71*VLOOKUP(Lookups!$K$11,Lookups!$M$10:$P$43,4,0)/VLOOKUP(L71,Lookups!$M$10:$P$43,4,0)),"")</f>
        <v/>
      </c>
      <c r="N71" s="14"/>
      <c r="O71" s="15"/>
      <c r="P71" s="89" t="str">
        <f>IF(N71&gt;0,(N71*VLOOKUP(Lookups!$K$11,Lookups!$M$10:$P$43,4,0)/VLOOKUP(O71,Lookups!$M$10:$P$43,4,0)),"")</f>
        <v/>
      </c>
      <c r="Q71" s="81" t="s">
        <v>3193</v>
      </c>
      <c r="R71" s="15" t="s">
        <v>152</v>
      </c>
      <c r="S71" s="12" t="s">
        <v>1884</v>
      </c>
      <c r="T71" s="134"/>
      <c r="U71" s="12"/>
    </row>
    <row r="72" spans="1:21" s="36" customFormat="1" ht="60" hidden="1" customHeight="1" outlineLevel="1" x14ac:dyDescent="0.25">
      <c r="A72" s="42" t="s">
        <v>847</v>
      </c>
      <c r="B72" s="42" t="s">
        <v>1877</v>
      </c>
      <c r="C72" s="42" t="s">
        <v>2315</v>
      </c>
      <c r="D72" s="42" t="s">
        <v>1881</v>
      </c>
      <c r="E72" s="12" t="s">
        <v>167</v>
      </c>
      <c r="F72" s="12" t="s">
        <v>210</v>
      </c>
      <c r="G72" s="12"/>
      <c r="H72" s="14">
        <v>48357</v>
      </c>
      <c r="I72" s="15" t="s">
        <v>259</v>
      </c>
      <c r="J72" s="89">
        <f>IF(H72&gt;0,(H72*VLOOKUP(Lookups!$K$11,Lookups!$M$10:$P$43,4,0)/VLOOKUP(I72,Lookups!$M$10:$P$43,4,0)),"")</f>
        <v>54996.249120925866</v>
      </c>
      <c r="K72" s="14"/>
      <c r="L72" s="15"/>
      <c r="M72" s="89" t="str">
        <f>IF(K72&gt;0,(K72*VLOOKUP(Lookups!$K$11,Lookups!$M$10:$P$43,4,0)/VLOOKUP(L72,Lookups!$M$10:$P$43,4,0)),"")</f>
        <v/>
      </c>
      <c r="N72" s="14"/>
      <c r="O72" s="15"/>
      <c r="P72" s="89" t="str">
        <f>IF(N72&gt;0,(N72*VLOOKUP(Lookups!$K$11,Lookups!$M$10:$P$43,4,0)/VLOOKUP(O72,Lookups!$M$10:$P$43,4,0)),"")</f>
        <v/>
      </c>
      <c r="Q72" s="81" t="s">
        <v>3193</v>
      </c>
      <c r="R72" s="15" t="s">
        <v>152</v>
      </c>
      <c r="S72" s="12" t="s">
        <v>1885</v>
      </c>
      <c r="T72" s="134"/>
      <c r="U72" s="12"/>
    </row>
    <row r="73" spans="1:21" s="36" customFormat="1" ht="60" hidden="1" customHeight="1" outlineLevel="1" x14ac:dyDescent="0.25">
      <c r="A73" s="42" t="s">
        <v>847</v>
      </c>
      <c r="B73" s="42" t="s">
        <v>1877</v>
      </c>
      <c r="C73" s="42" t="s">
        <v>2316</v>
      </c>
      <c r="D73" s="42" t="s">
        <v>1882</v>
      </c>
      <c r="E73" s="12" t="s">
        <v>167</v>
      </c>
      <c r="F73" s="12" t="s">
        <v>210</v>
      </c>
      <c r="G73" s="12"/>
      <c r="H73" s="14">
        <v>49572</v>
      </c>
      <c r="I73" s="15" t="s">
        <v>259</v>
      </c>
      <c r="J73" s="89">
        <f>IF(H73&gt;0,(H73*VLOOKUP(Lookups!$K$11,Lookups!$M$10:$P$43,4,0)/VLOOKUP(I73,Lookups!$M$10:$P$43,4,0)),"")</f>
        <v>56378.064425471748</v>
      </c>
      <c r="K73" s="14"/>
      <c r="L73" s="15"/>
      <c r="M73" s="89" t="str">
        <f>IF(K73&gt;0,(K73*VLOOKUP(Lookups!$K$11,Lookups!$M$10:$P$43,4,0)/VLOOKUP(L73,Lookups!$M$10:$P$43,4,0)),"")</f>
        <v/>
      </c>
      <c r="N73" s="14"/>
      <c r="O73" s="15"/>
      <c r="P73" s="89" t="str">
        <f>IF(N73&gt;0,(N73*VLOOKUP(Lookups!$K$11,Lookups!$M$10:$P$43,4,0)/VLOOKUP(O73,Lookups!$M$10:$P$43,4,0)),"")</f>
        <v/>
      </c>
      <c r="Q73" s="81" t="s">
        <v>3193</v>
      </c>
      <c r="R73" s="15" t="s">
        <v>152</v>
      </c>
      <c r="S73" s="12" t="s">
        <v>1886</v>
      </c>
      <c r="T73" s="134"/>
      <c r="U73" s="12"/>
    </row>
    <row r="74" spans="1:21" s="36" customFormat="1" ht="60" hidden="1" customHeight="1" outlineLevel="1" x14ac:dyDescent="0.25">
      <c r="A74" s="42" t="s">
        <v>847</v>
      </c>
      <c r="B74" s="42" t="s">
        <v>1877</v>
      </c>
      <c r="C74" s="42" t="s">
        <v>2317</v>
      </c>
      <c r="D74" s="42" t="s">
        <v>1883</v>
      </c>
      <c r="E74" s="12" t="s">
        <v>167</v>
      </c>
      <c r="F74" s="12" t="s">
        <v>210</v>
      </c>
      <c r="G74" s="12"/>
      <c r="H74" s="14">
        <v>50787</v>
      </c>
      <c r="I74" s="15" t="s">
        <v>259</v>
      </c>
      <c r="J74" s="89">
        <f>IF(H74&gt;0,(H74*VLOOKUP(Lookups!$K$11,Lookups!$M$10:$P$43,4,0)/VLOOKUP(I74,Lookups!$M$10:$P$43,4,0)),"")</f>
        <v>57759.879730017623</v>
      </c>
      <c r="K74" s="14"/>
      <c r="L74" s="15"/>
      <c r="M74" s="89" t="str">
        <f>IF(K74&gt;0,(K74*VLOOKUP(Lookups!$K$11,Lookups!$M$10:$P$43,4,0)/VLOOKUP(L74,Lookups!$M$10:$P$43,4,0)),"")</f>
        <v/>
      </c>
      <c r="N74" s="14"/>
      <c r="O74" s="15"/>
      <c r="P74" s="89" t="str">
        <f>IF(N74&gt;0,(N74*VLOOKUP(Lookups!$K$11,Lookups!$M$10:$P$43,4,0)/VLOOKUP(O74,Lookups!$M$10:$P$43,4,0)),"")</f>
        <v/>
      </c>
      <c r="Q74" s="81" t="s">
        <v>3193</v>
      </c>
      <c r="R74" s="15" t="s">
        <v>152</v>
      </c>
      <c r="S74" s="12" t="s">
        <v>1887</v>
      </c>
      <c r="T74" s="134"/>
      <c r="U74" s="12"/>
    </row>
    <row r="75" spans="1:21" s="36" customFormat="1" ht="60" customHeight="1" x14ac:dyDescent="0.25">
      <c r="A75" s="124"/>
      <c r="B75" s="124"/>
      <c r="C75" s="124"/>
      <c r="D75" s="124"/>
      <c r="E75" s="119"/>
      <c r="F75" s="119"/>
      <c r="G75" s="119"/>
      <c r="H75" s="125"/>
      <c r="I75" s="120"/>
      <c r="J75" s="121"/>
      <c r="K75" s="125"/>
      <c r="L75" s="120"/>
      <c r="M75" s="121"/>
      <c r="N75" s="125"/>
      <c r="O75" s="120"/>
      <c r="P75" s="121"/>
      <c r="Q75" s="136"/>
      <c r="R75" s="123"/>
      <c r="S75" s="119"/>
      <c r="T75" s="184"/>
      <c r="U75" s="119"/>
    </row>
    <row r="76" spans="1:21" s="36" customFormat="1" x14ac:dyDescent="0.25">
      <c r="A76" s="124"/>
      <c r="B76" s="124"/>
      <c r="C76" s="124"/>
      <c r="D76" s="124"/>
      <c r="E76" s="119"/>
      <c r="F76" s="119"/>
      <c r="G76" s="119"/>
      <c r="H76" s="125"/>
      <c r="I76" s="120"/>
      <c r="J76" s="121"/>
      <c r="K76" s="125"/>
      <c r="L76" s="120"/>
      <c r="M76" s="121"/>
      <c r="N76" s="125"/>
      <c r="O76" s="120"/>
      <c r="P76" s="121"/>
      <c r="Q76" s="122"/>
      <c r="R76" s="123"/>
      <c r="S76" s="119"/>
      <c r="T76" s="184"/>
      <c r="U76" s="119"/>
    </row>
    <row r="77" spans="1:21" x14ac:dyDescent="0.25">
      <c r="D77" s="139"/>
    </row>
    <row r="78" spans="1:21" x14ac:dyDescent="0.25">
      <c r="D78" s="139"/>
    </row>
    <row r="79" spans="1:21" x14ac:dyDescent="0.25">
      <c r="D79" s="139"/>
    </row>
    <row r="80" spans="1:21" x14ac:dyDescent="0.25">
      <c r="D80" s="139"/>
    </row>
    <row r="81" spans="4:4" x14ac:dyDescent="0.25">
      <c r="D81" s="139"/>
    </row>
    <row r="82" spans="4:4" x14ac:dyDescent="0.25">
      <c r="D82" s="139"/>
    </row>
    <row r="83" spans="4:4" x14ac:dyDescent="0.25">
      <c r="D83" s="139"/>
    </row>
    <row r="84" spans="4:4" x14ac:dyDescent="0.25">
      <c r="D84" s="139"/>
    </row>
    <row r="85" spans="4:4" x14ac:dyDescent="0.25">
      <c r="D85" s="139"/>
    </row>
    <row r="86" spans="4:4" x14ac:dyDescent="0.25">
      <c r="D86" s="139"/>
    </row>
    <row r="87" spans="4:4" x14ac:dyDescent="0.25">
      <c r="D87" s="139"/>
    </row>
    <row r="88" spans="4:4" x14ac:dyDescent="0.25">
      <c r="D88" s="139"/>
    </row>
    <row r="89" spans="4:4" x14ac:dyDescent="0.25">
      <c r="D89" s="139"/>
    </row>
    <row r="90" spans="4:4" x14ac:dyDescent="0.25">
      <c r="D90" s="139"/>
    </row>
    <row r="91" spans="4:4" x14ac:dyDescent="0.25">
      <c r="D91" s="139"/>
    </row>
    <row r="92" spans="4:4" x14ac:dyDescent="0.25">
      <c r="D92" s="139"/>
    </row>
    <row r="93" spans="4:4" x14ac:dyDescent="0.25">
      <c r="D93" s="139"/>
    </row>
    <row r="94" spans="4:4" x14ac:dyDescent="0.25">
      <c r="D94" s="139"/>
    </row>
    <row r="95" spans="4:4" x14ac:dyDescent="0.25">
      <c r="D95" s="139"/>
    </row>
    <row r="96" spans="4:4" x14ac:dyDescent="0.25">
      <c r="D96" s="139"/>
    </row>
    <row r="97" spans="4:4" x14ac:dyDescent="0.25">
      <c r="D97" s="139"/>
    </row>
    <row r="98" spans="4:4" x14ac:dyDescent="0.25">
      <c r="D98" s="139"/>
    </row>
    <row r="99" spans="4:4" x14ac:dyDescent="0.25">
      <c r="D99" s="139"/>
    </row>
    <row r="100" spans="4:4" x14ac:dyDescent="0.25">
      <c r="D100" s="139"/>
    </row>
    <row r="101" spans="4:4" x14ac:dyDescent="0.25">
      <c r="D101" s="139"/>
    </row>
    <row r="102" spans="4:4" x14ac:dyDescent="0.25">
      <c r="D102" s="139"/>
    </row>
    <row r="103" spans="4:4" x14ac:dyDescent="0.25">
      <c r="D103" s="139"/>
    </row>
    <row r="104" spans="4:4" x14ac:dyDescent="0.25">
      <c r="D104" s="139"/>
    </row>
    <row r="105" spans="4:4" x14ac:dyDescent="0.25">
      <c r="D105" s="139"/>
    </row>
    <row r="106" spans="4:4" x14ac:dyDescent="0.25">
      <c r="D106" s="139"/>
    </row>
    <row r="107" spans="4:4" x14ac:dyDescent="0.25">
      <c r="D107" s="139"/>
    </row>
    <row r="108" spans="4:4" x14ac:dyDescent="0.25">
      <c r="D108" s="139"/>
    </row>
    <row r="109" spans="4:4" x14ac:dyDescent="0.25">
      <c r="D109" s="139"/>
    </row>
    <row r="110" spans="4:4" x14ac:dyDescent="0.25">
      <c r="D110" s="139"/>
    </row>
    <row r="111" spans="4:4" x14ac:dyDescent="0.25">
      <c r="D111" s="139"/>
    </row>
    <row r="112" spans="4:4" x14ac:dyDescent="0.25">
      <c r="D112" s="139"/>
    </row>
    <row r="113" spans="4:4" x14ac:dyDescent="0.25">
      <c r="D113" s="139"/>
    </row>
    <row r="114" spans="4:4" x14ac:dyDescent="0.25">
      <c r="D114" s="139"/>
    </row>
    <row r="115" spans="4:4" x14ac:dyDescent="0.25">
      <c r="D115" s="139"/>
    </row>
    <row r="116" spans="4:4" x14ac:dyDescent="0.25">
      <c r="D116" s="139"/>
    </row>
    <row r="117" spans="4:4" x14ac:dyDescent="0.25">
      <c r="D117" s="139"/>
    </row>
    <row r="118" spans="4:4" x14ac:dyDescent="0.25">
      <c r="D118" s="139"/>
    </row>
    <row r="119" spans="4:4" x14ac:dyDescent="0.25">
      <c r="D119" s="139"/>
    </row>
    <row r="120" spans="4:4" x14ac:dyDescent="0.25">
      <c r="D120" s="139"/>
    </row>
    <row r="121" spans="4:4" x14ac:dyDescent="0.25">
      <c r="D121" s="139"/>
    </row>
    <row r="122" spans="4:4" x14ac:dyDescent="0.25">
      <c r="D122" s="139"/>
    </row>
    <row r="123" spans="4:4" x14ac:dyDescent="0.25">
      <c r="D123" s="139"/>
    </row>
    <row r="124" spans="4:4" x14ac:dyDescent="0.25">
      <c r="D124" s="139"/>
    </row>
    <row r="125" spans="4:4" x14ac:dyDescent="0.25">
      <c r="D125" s="139"/>
    </row>
    <row r="126" spans="4:4" x14ac:dyDescent="0.25">
      <c r="D126" s="139"/>
    </row>
    <row r="127" spans="4:4" x14ac:dyDescent="0.25">
      <c r="D127" s="139"/>
    </row>
    <row r="128" spans="4:4" x14ac:dyDescent="0.25">
      <c r="D128" s="139"/>
    </row>
    <row r="129" spans="4:4" x14ac:dyDescent="0.25">
      <c r="D129" s="139"/>
    </row>
    <row r="130" spans="4:4" x14ac:dyDescent="0.25">
      <c r="D130" s="139"/>
    </row>
    <row r="131" spans="4:4" x14ac:dyDescent="0.25">
      <c r="D131" s="139"/>
    </row>
    <row r="132" spans="4:4" x14ac:dyDescent="0.25">
      <c r="D132" s="139"/>
    </row>
    <row r="133" spans="4:4" x14ac:dyDescent="0.25">
      <c r="D133" s="139"/>
    </row>
    <row r="134" spans="4:4" x14ac:dyDescent="0.25">
      <c r="D134" s="139"/>
    </row>
    <row r="135" spans="4:4" x14ac:dyDescent="0.25">
      <c r="D135" s="139"/>
    </row>
    <row r="136" spans="4:4" x14ac:dyDescent="0.25">
      <c r="D136" s="139"/>
    </row>
    <row r="137" spans="4:4" x14ac:dyDescent="0.25">
      <c r="D137" s="139"/>
    </row>
    <row r="138" spans="4:4" x14ac:dyDescent="0.25">
      <c r="D138" s="139"/>
    </row>
    <row r="139" spans="4:4" x14ac:dyDescent="0.25">
      <c r="D139" s="139"/>
    </row>
    <row r="140" spans="4:4" x14ac:dyDescent="0.25">
      <c r="D140" s="139"/>
    </row>
    <row r="141" spans="4:4" x14ac:dyDescent="0.25">
      <c r="D141" s="139"/>
    </row>
    <row r="142" spans="4:4" x14ac:dyDescent="0.25">
      <c r="D142" s="139"/>
    </row>
    <row r="143" spans="4:4" x14ac:dyDescent="0.25">
      <c r="D143" s="139"/>
    </row>
    <row r="144" spans="4:4" x14ac:dyDescent="0.25">
      <c r="D144" s="139"/>
    </row>
    <row r="145" spans="4:4" x14ac:dyDescent="0.25">
      <c r="D145" s="139"/>
    </row>
    <row r="146" spans="4:4" x14ac:dyDescent="0.25">
      <c r="D146" s="139"/>
    </row>
    <row r="147" spans="4:4" x14ac:dyDescent="0.25">
      <c r="D147" s="139"/>
    </row>
  </sheetData>
  <sheetProtection sheet="1" objects="1" scenarios="1" formatColumns="0" formatRows="0"/>
  <mergeCells count="5">
    <mergeCell ref="H1:J1"/>
    <mergeCell ref="K1:M1"/>
    <mergeCell ref="T1:U1"/>
    <mergeCell ref="N1:P1"/>
    <mergeCell ref="F1:G1"/>
  </mergeCells>
  <dataValidations count="8">
    <dataValidation type="list" allowBlank="1" showInputMessage="1" showErrorMessage="1" sqref="E67:E76 E3:E64" xr:uid="{00000000-0002-0000-0300-000002000000}">
      <formula1>Unit</formula1>
    </dataValidation>
    <dataValidation type="list" allowBlank="1" showInputMessage="1" showErrorMessage="1" sqref="G3:G12 F13 G14:G18 F19:F21 G22:G76" xr:uid="{00000000-0002-0000-0300-000003000000}">
      <formula1>Level2agencysaving</formula1>
    </dataValidation>
    <dataValidation type="list" allowBlank="1" showInputMessage="1" showErrorMessage="1" sqref="F3:F12 G13 F14:F18 G19:G21 F22:F76" xr:uid="{00000000-0002-0000-0300-000004000000}">
      <formula1>Level1agencysaving</formula1>
    </dataValidation>
    <dataValidation type="list" allowBlank="1" showInputMessage="1" showErrorMessage="1" sqref="T76" xr:uid="{00000000-0002-0000-0300-000001000000}">
      <formula1>#REF!</formula1>
    </dataValidation>
    <dataValidation type="list" allowBlank="1" showInputMessage="1" showErrorMessage="1" sqref="A3:A76" xr:uid="{00000000-0002-0000-0300-000005000000}">
      <formula1>Outcomecategory</formula1>
    </dataValidation>
    <dataValidation type="list" allowBlank="1" showInputMessage="1" showErrorMessage="1" sqref="B3:B76" xr:uid="{00000000-0002-0000-0300-000006000000}">
      <formula1>Outcomedetail</formula1>
    </dataValidation>
    <dataValidation type="list" allowBlank="1" showInputMessage="1" showErrorMessage="1" sqref="O3:O76 I3:I76 L3:L76" xr:uid="{00000000-0002-0000-0300-000007000000}">
      <formula1>Year</formula1>
    </dataValidation>
    <dataValidation type="list" allowBlank="1" showInputMessage="1" showErrorMessage="1" sqref="T3:T74" xr:uid="{F0596740-791B-4BF8-947D-6809CA35C45F}">
      <formula1>Update</formula1>
    </dataValidation>
  </dataValidations>
  <hyperlinks>
    <hyperlink ref="Q41" r:id="rId1" xr:uid="{92CF4ADE-C923-4807-A773-E9D0807223DC}"/>
    <hyperlink ref="Q14" r:id="rId2" display="Mental Health Promotion and Mental Illness Prevention: the economic case (Knapp et al, 2011)" xr:uid="{0FB73EF2-9FB2-487E-96B5-4ACBE0CF580E}"/>
    <hyperlink ref="Q15" r:id="rId3" display="Mental Health Promotion and Mental Illness Prevention: the economic case (Knapp et al, 2011)" xr:uid="{F067241B-18CE-4C98-BB8B-C04005F4BB55}"/>
    <hyperlink ref="Q16" r:id="rId4" display="Mental Health Promotion and Mental Illness Prevention: the economic case (Knapp et al, 2011)" xr:uid="{B5B7DA9D-089A-47A4-9BC0-C3B66DC30470}"/>
    <hyperlink ref="Q17" r:id="rId5" display="Mental Health Promotion and Mental Illness Prevention: the economic case (Knapp et al, 2011)" xr:uid="{014ECAF4-DF72-41E3-B580-907DE336E511}"/>
    <hyperlink ref="Q18" r:id="rId6" display="Mental Health Promotion and Mental Illness Prevention: the economic case (Knapp et al, 2011)" xr:uid="{442AA7C6-8616-4B28-92EF-0AB147E80093}"/>
    <hyperlink ref="Q13" r:id="rId7" display="Mental Health Promotion and Mental Illness Prevention: the economic case (Knapp et al, 2011)" xr:uid="{47D4F6C8-76BF-4352-A884-25E716755635}"/>
    <hyperlink ref="Q3" r:id="rId8" xr:uid="{D9378E18-7B7F-4193-A477-AFDF15DE37DA}"/>
    <hyperlink ref="Q27" r:id="rId9" xr:uid="{8D5CDB22-82BB-4649-89C0-9E89DDE7D256}"/>
    <hyperlink ref="Q25" r:id="rId10" xr:uid="{86BFA3E3-97FE-4BE6-ACCC-5478589BADFA}"/>
    <hyperlink ref="Q65" r:id="rId11" xr:uid="{93606118-0495-408C-8D59-A9253BE4F7B9}"/>
    <hyperlink ref="Q70" r:id="rId12" xr:uid="{7017D7BE-137C-4AED-B0CA-FEB5A2A29431}"/>
    <hyperlink ref="Q19" r:id="rId13" display="GCSE attainment and lifetime earnings" xr:uid="{8510A797-66D6-4848-BC48-5BAD72D90EB5}"/>
    <hyperlink ref="Q20" r:id="rId14" display="GCSE attainment and lifetime earnings" xr:uid="{15B95824-0C21-4BF6-BB24-511924E25B79}"/>
    <hyperlink ref="Q21" r:id="rId15" display="GCSE attainment and lifetime earnings" xr:uid="{BB08FA69-5C64-42C8-BCF3-5B40C083A330}"/>
    <hyperlink ref="Q4" r:id="rId16" xr:uid="{45EB44AA-D046-4210-B5A7-9E2A0B08132E}"/>
    <hyperlink ref="Q5" r:id="rId17" xr:uid="{E5AE8597-BB60-4AB5-A0BF-92DC4C48A1DA}"/>
    <hyperlink ref="Q6" r:id="rId18" xr:uid="{41C6BF35-9EFA-465C-A4B2-A95F245B6793}"/>
    <hyperlink ref="Q7" r:id="rId19" xr:uid="{05AE22C5-94A4-4AC4-8672-998A5EF90208}"/>
    <hyperlink ref="Q8" r:id="rId20" xr:uid="{3B1FA977-A172-4657-A705-334094AFA560}"/>
    <hyperlink ref="Q9" r:id="rId21" xr:uid="{2A226A0B-CC4C-4562-89D4-03AB8ECB5225}"/>
    <hyperlink ref="Q10" r:id="rId22" xr:uid="{546F2826-DD57-4B0B-9902-30F3988B5972}"/>
    <hyperlink ref="Q11" r:id="rId23" xr:uid="{C8CF7B4B-DD41-4DC5-9FAC-BE4220D809A4}"/>
    <hyperlink ref="Q12" r:id="rId24" xr:uid="{763E089F-643B-4E6E-B98B-79E63639EC33}"/>
    <hyperlink ref="Q22" r:id="rId25" xr:uid="{B210DE17-9542-4E6B-8EBC-4D1596F1557B}"/>
    <hyperlink ref="Q23" r:id="rId26" xr:uid="{99801082-17BB-4E5A-8062-950A6AFE416D}"/>
    <hyperlink ref="Q24" r:id="rId27" xr:uid="{ADB8EF2F-2C66-4539-85B0-CD385F1F3812}"/>
    <hyperlink ref="Q26" r:id="rId28" xr:uid="{AFC2EFAB-F52F-4FDE-A1A7-083587CD2517}"/>
    <hyperlink ref="Q28" r:id="rId29" display="Net Benefits of Training Study 2011 (IER, 2011), p.67, quoted in Employer Investment in Apprenticeships and Workplace Learning: The Fifth Net Benefits of Training to Employers Study (BIS Research Paper Number 67, 2012)" xr:uid="{A342FEE8-BB91-4222-99BA-EF2405836643}"/>
    <hyperlink ref="Q29" r:id="rId30" display="Net Benefits of Training Study 2011 (IER, 2011), p.67, quoted in Employer Investment in Apprenticeships and Workplace Learning: The Fifth Net Benefits of Training to Employers Study (BIS Research Paper Number 67, 2012)" xr:uid="{F6278B88-2A50-471A-B61B-CB7B7EFF6308}"/>
    <hyperlink ref="Q30" r:id="rId31" display="Net Benefits of Training Study 2011 (IER, 2011), p.67, quoted in Employer Investment in Apprenticeships and Workplace Learning: The Fifth Net Benefits of Training to Employers Study (BIS Research Paper Number 67, 2012)" xr:uid="{594B1CC2-787D-4A27-A823-ECF6897B47B5}"/>
    <hyperlink ref="Q31" r:id="rId32" display="Net Benefits of Training Study 2011 (IER, 2011), p.67, quoted in Employer Investment in Apprenticeships and Workplace Learning: The Fifth Net Benefits of Training to Employers Study (BIS Research Paper Number 67, 2012)" xr:uid="{A45C6D82-CDD5-4762-92FC-787C8294C715}"/>
    <hyperlink ref="Q32" r:id="rId33" display="Net Benefits of Training Study 2011 (IER, 2011), p.67, quoted in Employer Investment in Apprenticeships and Workplace Learning: The Fifth Net Benefits of Training to Employers Study (BIS Research Paper Number 67, 2012)" xr:uid="{A54EB937-76C0-487E-9994-256991393445}"/>
    <hyperlink ref="Q33" r:id="rId34" xr:uid="{AA324A37-9A8C-4C97-93FF-D1A2C397DD7A}"/>
    <hyperlink ref="Q34" r:id="rId35" xr:uid="{93E6E596-C3B0-4A99-B74E-111938860365}"/>
    <hyperlink ref="Q35" r:id="rId36" xr:uid="{45659B7D-0C51-4250-B06F-C6C6D589C665}"/>
    <hyperlink ref="Q36" r:id="rId37" xr:uid="{D5F1AAC4-D1A4-4DD7-8E4A-82F93C61BE4C}"/>
    <hyperlink ref="Q37" r:id="rId38" xr:uid="{A1996395-F383-42DD-A6D8-49503A8DD1FF}"/>
    <hyperlink ref="Q38" r:id="rId39" display="Net Benefits of Training Study 2011 (IER, 2011), p.67, quoted in Employer Investment in Apprenticeships and Workplace Learning: The Fifth Net Benefits of Training to Employers Study (BIS Research Paper Number 67, 2012)" xr:uid="{EF8D42BC-0C54-4600-AC45-E69144844C23}"/>
    <hyperlink ref="Q39" r:id="rId40" display="Net Benefits of Training Study 2011 (IER, 2011), p.67, quoted in Employer Investment in Apprenticeships and Workplace Learning: The Fifth Net Benefits of Training to Employers Study (BIS Research Paper Number 67, 2012)" xr:uid="{C432FC66-1C80-4805-BDEC-46B9C2444B03}"/>
    <hyperlink ref="Q40" r:id="rId41" display="Net Benefits of Training Study 2011 (IER, 2011), p.67, quoted in Employer Investment in Apprenticeships and Workplace Learning: The Fifth Net Benefits of Training to Employers Study (BIS Research Paper Number 67, 2012)" xr:uid="{40FCC63B-357E-4043-A667-3B9217CE4981}"/>
    <hyperlink ref="Q42" r:id="rId42" xr:uid="{A063CE58-1A82-4649-A804-ABCA589F7F63}"/>
    <hyperlink ref="Q43" r:id="rId43" xr:uid="{518AADF1-7918-40BB-B80A-C455BAD4A61F}"/>
    <hyperlink ref="Q44" r:id="rId44" xr:uid="{5E47163D-FBC2-4377-BD22-EB48E414587A}"/>
    <hyperlink ref="Q45" r:id="rId45" xr:uid="{54FE3AED-BBBE-4F9F-8640-40877E816FC8}"/>
    <hyperlink ref="Q46" r:id="rId46" xr:uid="{8CF5AC8C-5930-4728-91F3-31ABD29EEB00}"/>
    <hyperlink ref="Q47" r:id="rId47" xr:uid="{396306E7-15D3-4512-9E69-0D79CA357063}"/>
    <hyperlink ref="Q48" r:id="rId48" xr:uid="{0CFD123D-9ED1-4065-B42C-730097A99BDA}"/>
    <hyperlink ref="Q49" r:id="rId49" xr:uid="{AF18EC24-70A1-42CC-98E5-254BD4196E10}"/>
    <hyperlink ref="Q50" r:id="rId50" xr:uid="{8696A2BF-6202-4DDC-BD63-649DB03842AC}"/>
    <hyperlink ref="Q51" r:id="rId51" xr:uid="{BB04A0D7-E903-4A9A-AB40-3F6B3D6C8F5C}"/>
    <hyperlink ref="Q52" r:id="rId52" xr:uid="{2420EA7D-0909-4DC5-A8B5-70704D41CC46}"/>
    <hyperlink ref="Q53" r:id="rId53" xr:uid="{3D823450-61BB-40D8-9C36-7080414EC198}"/>
    <hyperlink ref="Q54" r:id="rId54" xr:uid="{9B0A9480-9D66-45CE-87D8-556AFD802922}"/>
    <hyperlink ref="Q55" r:id="rId55" xr:uid="{31A0FCE5-B9D7-409F-A4B8-85F347EC2530}"/>
    <hyperlink ref="Q56" r:id="rId56" xr:uid="{AF1E395E-9E2E-4045-84B9-812678C56896}"/>
    <hyperlink ref="Q57" r:id="rId57" xr:uid="{47E0AEC6-9491-45CC-894E-BED9DF7C1456}"/>
    <hyperlink ref="Q58" r:id="rId58" xr:uid="{3E0866D2-B133-49C6-9C38-F8B49C94D37A}"/>
    <hyperlink ref="Q59" r:id="rId59" xr:uid="{272DCD32-3C52-4155-A3EF-64EB683FBDA1}"/>
    <hyperlink ref="Q60" r:id="rId60" xr:uid="{2FB8C23A-5F86-4DAC-9881-0D07358B1EF1}"/>
    <hyperlink ref="Q61" r:id="rId61" xr:uid="{44302CAD-409D-4044-B07D-944A29338D0F}"/>
    <hyperlink ref="Q62" r:id="rId62" xr:uid="{6A0FABB3-BC17-42B2-8C19-87593F18DC30}"/>
    <hyperlink ref="Q63" r:id="rId63" xr:uid="{1409D16F-BA1A-4EB6-90CF-9A8428DD0A99}"/>
    <hyperlink ref="Q64" r:id="rId64" xr:uid="{726A6A50-B852-4FEC-95C1-89DC4BA38729}"/>
    <hyperlink ref="Q66" r:id="rId65" xr:uid="{1617700A-4523-4B19-87B2-018D791CB359}"/>
    <hyperlink ref="Q71" r:id="rId66" xr:uid="{0448C007-B5A4-4D16-B0B6-B9CE99985A69}"/>
    <hyperlink ref="Q72" r:id="rId67" xr:uid="{51E6C28E-E13D-4358-B3F2-DD6585455E67}"/>
    <hyperlink ref="Q73" r:id="rId68" xr:uid="{560439C8-59C3-47BE-8E8E-6D7E289161BC}"/>
    <hyperlink ref="Q74" r:id="rId69" xr:uid="{1E2B9900-277A-4C4C-8BA5-0739823847AD}"/>
    <hyperlink ref="Q67" r:id="rId70" xr:uid="{8CC328EE-9F89-4A06-8FFF-4297A98AA077}"/>
    <hyperlink ref="Q68" r:id="rId71" display="The Economic Value of Libraries (ERS, 2014), p.45" xr:uid="{AF99A856-81DE-460F-BF37-4C810A02BC25}"/>
    <hyperlink ref="Q69" r:id="rId72" display="The Economic Value of Libraries (ERS, 2014), p.45" xr:uid="{D7050F03-F5D3-4FB3-9A70-C8668823E7B6}"/>
  </hyperlinks>
  <pageMargins left="0.74803149606299213" right="0.74803149606299213" top="0.98425196850393704" bottom="0.98425196850393704" header="0.51181102362204722" footer="0.51181102362204722"/>
  <pageSetup paperSize="8" scale="44" orientation="landscape" r:id="rId73"/>
  <headerFooter alignWithMargins="0"/>
  <legacyDrawing r:id="rId74"/>
  <extLst>
    <ext xmlns:x14="http://schemas.microsoft.com/office/spreadsheetml/2009/9/main" uri="{78C0D931-6437-407d-A8EE-F0AAD7539E65}">
      <x14:conditionalFormattings>
        <x14:conditionalFormatting xmlns:xm="http://schemas.microsoft.com/office/excel/2006/main">
          <x14:cfRule type="cellIs" priority="70" operator="equal" id="{8CCE1215-D317-4E65-8941-FEE53B73FCB4}">
            <xm:f>Lookups!$V$12</xm:f>
            <x14:dxf>
              <fill>
                <patternFill>
                  <bgColor rgb="FF92D050"/>
                </patternFill>
              </fill>
            </x14:dxf>
          </x14:cfRule>
          <x14:cfRule type="cellIs" priority="71" operator="equal" id="{59587E1E-F5B5-4E50-B3D7-B6D7E0359586}">
            <xm:f>Lookups!$V$11</xm:f>
            <x14:dxf>
              <fill>
                <patternFill>
                  <bgColor rgb="FFFFC000"/>
                </patternFill>
              </fill>
            </x14:dxf>
          </x14:cfRule>
          <x14:cfRule type="cellIs" priority="72" operator="equal" id="{58319716-FC2B-4032-9BB8-EEC11EBB9627}">
            <xm:f>Lookups!$V$10</xm:f>
            <x14:dxf>
              <fill>
                <patternFill>
                  <bgColor rgb="FFFF0000"/>
                </patternFill>
              </fill>
            </x14:dxf>
          </x14:cfRule>
          <xm:sqref>R3:R18 R22:R40 R43:R74</xm:sqref>
        </x14:conditionalFormatting>
        <x14:conditionalFormatting xmlns:xm="http://schemas.microsoft.com/office/excel/2006/main">
          <x14:cfRule type="cellIs" priority="58" operator="equal" id="{94AD15E6-744E-4C7E-AEE3-32172640D70B}">
            <xm:f>Lookups!$V$12</xm:f>
            <x14:dxf>
              <fill>
                <patternFill>
                  <bgColor rgb="FF92D050"/>
                </patternFill>
              </fill>
            </x14:dxf>
          </x14:cfRule>
          <x14:cfRule type="cellIs" priority="59" operator="equal" id="{1570E245-0496-44DC-ABF9-090C85B90EE3}">
            <xm:f>Lookups!$V$11</xm:f>
            <x14:dxf>
              <fill>
                <patternFill>
                  <bgColor rgb="FFFFC000"/>
                </patternFill>
              </fill>
            </x14:dxf>
          </x14:cfRule>
          <x14:cfRule type="cellIs" priority="60" operator="equal" id="{09F011E8-21AC-412E-B762-E6D1966271F8}">
            <xm:f>Lookups!$V$10</xm:f>
            <x14:dxf>
              <fill>
                <patternFill>
                  <bgColor rgb="FFFF0000"/>
                </patternFill>
              </fill>
            </x14:dxf>
          </x14:cfRule>
          <xm:sqref>R41</xm:sqref>
        </x14:conditionalFormatting>
        <x14:conditionalFormatting xmlns:xm="http://schemas.microsoft.com/office/excel/2006/main">
          <x14:cfRule type="cellIs" priority="46" operator="equal" id="{E01062A3-86EF-4D01-8A5D-8DC9EAA5E89F}">
            <xm:f>Lookups!$V$12</xm:f>
            <x14:dxf>
              <fill>
                <patternFill>
                  <bgColor rgb="FF92D050"/>
                </patternFill>
              </fill>
            </x14:dxf>
          </x14:cfRule>
          <x14:cfRule type="cellIs" priority="47" operator="equal" id="{77733BB4-B0B1-40FE-940A-360F401507CD}">
            <xm:f>Lookups!$V$11</xm:f>
            <x14:dxf>
              <fill>
                <patternFill>
                  <bgColor rgb="FFFFC000"/>
                </patternFill>
              </fill>
            </x14:dxf>
          </x14:cfRule>
          <x14:cfRule type="cellIs" priority="48" operator="equal" id="{BAAD82B9-860A-4DFA-843D-8EEB8B14940C}">
            <xm:f>Lookups!$V$10</xm:f>
            <x14:dxf>
              <fill>
                <patternFill>
                  <bgColor rgb="FFFF0000"/>
                </patternFill>
              </fill>
            </x14:dxf>
          </x14:cfRule>
          <xm:sqref>R42</xm:sqref>
        </x14:conditionalFormatting>
        <x14:conditionalFormatting xmlns:xm="http://schemas.microsoft.com/office/excel/2006/main">
          <x14:cfRule type="cellIs" priority="34" operator="equal" id="{044976A7-CB87-4867-BC24-60A442C3F911}">
            <xm:f>Lookups!$V$12</xm:f>
            <x14:dxf>
              <fill>
                <patternFill>
                  <bgColor rgb="FF92D050"/>
                </patternFill>
              </fill>
            </x14:dxf>
          </x14:cfRule>
          <x14:cfRule type="cellIs" priority="35" operator="equal" id="{011A6AFB-BA0C-4892-AB46-4245BEBFF6FE}">
            <xm:f>Lookups!$V$11</xm:f>
            <x14:dxf>
              <fill>
                <patternFill>
                  <bgColor rgb="FFFFC000"/>
                </patternFill>
              </fill>
            </x14:dxf>
          </x14:cfRule>
          <x14:cfRule type="cellIs" priority="36" operator="equal" id="{DD4F4267-7A3A-4AEF-AC1E-C1B4F7607B00}">
            <xm:f>Lookups!$V$10</xm:f>
            <x14:dxf>
              <fill>
                <patternFill>
                  <bgColor rgb="FFFF0000"/>
                </patternFill>
              </fill>
            </x14:dxf>
          </x14:cfRule>
          <xm:sqref>R19 R21</xm:sqref>
        </x14:conditionalFormatting>
        <x14:conditionalFormatting xmlns:xm="http://schemas.microsoft.com/office/excel/2006/main">
          <x14:cfRule type="cellIs" priority="22" operator="equal" id="{6AC0C852-681A-48D7-BFA0-8F79AEBC4931}">
            <xm:f>Lookups!$V$12</xm:f>
            <x14:dxf>
              <fill>
                <patternFill>
                  <bgColor rgb="FF92D050"/>
                </patternFill>
              </fill>
            </x14:dxf>
          </x14:cfRule>
          <x14:cfRule type="cellIs" priority="23" operator="equal" id="{115BCE9F-3D41-43F3-BD2A-C96117A9F0B8}">
            <xm:f>Lookups!$V$11</xm:f>
            <x14:dxf>
              <fill>
                <patternFill>
                  <bgColor rgb="FFFFC000"/>
                </patternFill>
              </fill>
            </x14:dxf>
          </x14:cfRule>
          <x14:cfRule type="cellIs" priority="24" operator="equal" id="{58BAF102-0B1B-4EE1-AB86-8A7FB36E08B3}">
            <xm:f>Lookups!$V$10</xm:f>
            <x14:dxf>
              <fill>
                <patternFill>
                  <bgColor rgb="FFFF0000"/>
                </patternFill>
              </fill>
            </x14:dxf>
          </x14:cfRule>
          <xm:sqref>R20</xm:sqref>
        </x14:conditionalFormatting>
        <x14:conditionalFormatting xmlns:xm="http://schemas.microsoft.com/office/excel/2006/main">
          <x14:cfRule type="cellIs" priority="7" operator="between" id="{2828F084-00B0-4FCF-950E-FE11485012EC}">
            <xm:f>Lookups!$T$10</xm:f>
            <xm:f>Lookups!$T$30</xm:f>
            <x14:dxf>
              <font>
                <color auto="1"/>
              </font>
              <fill>
                <patternFill>
                  <bgColor rgb="FFFF0000"/>
                </patternFill>
              </fill>
            </x14:dxf>
          </x14:cfRule>
          <x14:cfRule type="cellIs" priority="8" operator="between" id="{B50DAE89-0682-418A-88F1-01B4ED52129A}">
            <xm:f>Lookups!$T$31</xm:f>
            <xm:f>Lookups!$T$35</xm:f>
            <x14:dxf>
              <fill>
                <patternFill>
                  <bgColor rgb="FFFFC000"/>
                </patternFill>
              </fill>
            </x14:dxf>
          </x14:cfRule>
          <x14:cfRule type="cellIs" priority="9" operator="between" id="{1B2DDD49-BD8A-482B-A404-1BA8EC30B85F}">
            <xm:f>Lookups!$T$36</xm:f>
            <xm:f>Lookups!$T$40</xm:f>
            <x14:dxf>
              <fill>
                <patternFill>
                  <bgColor rgb="FF92D050"/>
                </patternFill>
              </fill>
            </x14:dxf>
          </x14:cfRule>
          <xm:sqref>I3:I74</xm:sqref>
        </x14:conditionalFormatting>
        <x14:conditionalFormatting xmlns:xm="http://schemas.microsoft.com/office/excel/2006/main">
          <x14:cfRule type="cellIs" priority="4" operator="between" id="{05E12BCA-18FF-456F-A652-341EB0905272}">
            <xm:f>Lookups!$T$10</xm:f>
            <xm:f>Lookups!$T$30</xm:f>
            <x14:dxf>
              <font>
                <color auto="1"/>
              </font>
              <fill>
                <patternFill>
                  <bgColor rgb="FFFF0000"/>
                </patternFill>
              </fill>
            </x14:dxf>
          </x14:cfRule>
          <x14:cfRule type="cellIs" priority="5" operator="between" id="{3A336EE1-66AE-40A5-9F58-20DEDBAC93BE}">
            <xm:f>Lookups!$T$31</xm:f>
            <xm:f>Lookups!$T$35</xm:f>
            <x14:dxf>
              <fill>
                <patternFill>
                  <bgColor rgb="FFFFC000"/>
                </patternFill>
              </fill>
            </x14:dxf>
          </x14:cfRule>
          <x14:cfRule type="cellIs" priority="6" operator="between" id="{C64567BA-3F61-49AC-A094-D4362385768A}">
            <xm:f>Lookups!$T$36</xm:f>
            <xm:f>Lookups!$T$40</xm:f>
            <x14:dxf>
              <fill>
                <patternFill>
                  <bgColor rgb="FF92D050"/>
                </patternFill>
              </fill>
            </x14:dxf>
          </x14:cfRule>
          <xm:sqref>L3:L74</xm:sqref>
        </x14:conditionalFormatting>
        <x14:conditionalFormatting xmlns:xm="http://schemas.microsoft.com/office/excel/2006/main">
          <x14:cfRule type="cellIs" priority="1" operator="between" id="{62CC1EB4-1815-40F5-8F1F-58666D64B184}">
            <xm:f>Lookups!$T$10</xm:f>
            <xm:f>Lookups!$T$30</xm:f>
            <x14:dxf>
              <font>
                <color auto="1"/>
              </font>
              <fill>
                <patternFill>
                  <bgColor rgb="FFFF0000"/>
                </patternFill>
              </fill>
            </x14:dxf>
          </x14:cfRule>
          <x14:cfRule type="cellIs" priority="2" operator="between" id="{52F71E86-BCB0-4B47-ACD5-5E053C06ADD1}">
            <xm:f>Lookups!$T$31</xm:f>
            <xm:f>Lookups!$T$35</xm:f>
            <x14:dxf>
              <fill>
                <patternFill>
                  <bgColor rgb="FFFFC000"/>
                </patternFill>
              </fill>
            </x14:dxf>
          </x14:cfRule>
          <x14:cfRule type="cellIs" priority="3" operator="between" id="{8B755293-2C74-4927-A6BB-7B844F83C500}">
            <xm:f>Lookups!$T$36</xm:f>
            <xm:f>Lookups!$T$40</xm:f>
            <x14:dxf>
              <fill>
                <patternFill>
                  <bgColor rgb="FF92D050"/>
                </patternFill>
              </fill>
            </x14:dxf>
          </x14:cfRule>
          <xm:sqref>O3:O74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50"/>
    <outlinePr summaryBelow="0"/>
  </sheetPr>
  <dimension ref="A1:AD146"/>
  <sheetViews>
    <sheetView showGridLines="0" zoomScale="90" zoomScaleNormal="90" zoomScaleSheetLayoutView="80" workbookViewId="0">
      <pane xSplit="5" ySplit="2" topLeftCell="F3" activePane="bottomRight" state="frozen"/>
      <selection activeCell="J3" sqref="J3"/>
      <selection pane="topRight" activeCell="J3" sqref="J3"/>
      <selection pane="bottomLeft" activeCell="J3" sqref="J3"/>
      <selection pane="bottomRight" activeCell="A3" sqref="A3"/>
    </sheetView>
  </sheetViews>
  <sheetFormatPr defaultColWidth="9" defaultRowHeight="13.2" outlineLevelRow="2" x14ac:dyDescent="0.25"/>
  <cols>
    <col min="1" max="1" width="12.69921875" style="73" customWidth="1"/>
    <col min="2" max="2" width="14.69921875" style="73" customWidth="1"/>
    <col min="3" max="3" width="8.5" style="73" customWidth="1"/>
    <col min="4" max="4" width="43.19921875" style="73" customWidth="1"/>
    <col min="5" max="5" width="15" style="71" customWidth="1"/>
    <col min="6" max="6" width="16" style="71" customWidth="1"/>
    <col min="7" max="7" width="15.69921875" style="71" customWidth="1"/>
    <col min="8" max="8" width="12.5" style="71" bestFit="1" customWidth="1"/>
    <col min="9" max="9" width="10" style="71" customWidth="1"/>
    <col min="10" max="10" width="12.5" style="72" bestFit="1" customWidth="1"/>
    <col min="11" max="11" width="12.5" style="71" bestFit="1" customWidth="1"/>
    <col min="12" max="12" width="10" style="71" customWidth="1"/>
    <col min="13" max="13" width="12.5" style="72" bestFit="1" customWidth="1"/>
    <col min="14" max="14" width="12.5" style="71" bestFit="1" customWidth="1"/>
    <col min="15" max="15" width="10" style="71" customWidth="1"/>
    <col min="16" max="16" width="12.5" style="72" bestFit="1" customWidth="1"/>
    <col min="17" max="17" width="46.19921875" style="70" customWidth="1"/>
    <col min="18" max="18" width="12.5" style="70" customWidth="1"/>
    <col min="19" max="19" width="78.19921875" style="70" customWidth="1"/>
    <col min="20" max="20" width="10.19921875" style="178" customWidth="1"/>
    <col min="21" max="21" width="20.69921875" style="68" customWidth="1"/>
    <col min="22" max="16384" width="9" style="68"/>
  </cols>
  <sheetData>
    <row r="1" spans="1:21" s="47" customFormat="1" ht="31.5"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row>
    <row r="2" spans="1:21" s="47" customFormat="1" ht="30" customHeight="1" collapsed="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row>
    <row r="3" spans="1:21" s="78" customFormat="1" ht="60" customHeight="1" collapsed="1" x14ac:dyDescent="0.25">
      <c r="A3" s="40" t="s">
        <v>848</v>
      </c>
      <c r="B3" s="40" t="s">
        <v>157</v>
      </c>
      <c r="C3" s="40" t="s">
        <v>335</v>
      </c>
      <c r="D3" s="48" t="s">
        <v>983</v>
      </c>
      <c r="E3" s="34" t="s">
        <v>678</v>
      </c>
      <c r="F3" s="34" t="s">
        <v>214</v>
      </c>
      <c r="G3" s="34" t="s">
        <v>243</v>
      </c>
      <c r="H3" s="77">
        <v>12657</v>
      </c>
      <c r="I3" s="15" t="s">
        <v>259</v>
      </c>
      <c r="J3" s="17">
        <f>IF(H3&gt;0,(H3*VLOOKUP(Lookups!$K$11,Lookups!$M$10:$P$43,4,0)/VLOOKUP(I3,Lookups!$M$10:$P$43,4,0)),"")</f>
        <v>14394.762394763091</v>
      </c>
      <c r="K3" s="77">
        <v>17420</v>
      </c>
      <c r="L3" s="15" t="s">
        <v>259</v>
      </c>
      <c r="M3" s="17">
        <f>IF(K3&gt;0,(K3*VLOOKUP(Lookups!$K$11,Lookups!$M$10:$P$43,4,0)/VLOOKUP(L3,Lookups!$M$10:$P$43,4,0)),"")</f>
        <v>19811.705847892314</v>
      </c>
      <c r="N3" s="77"/>
      <c r="O3" s="15"/>
      <c r="P3" s="17" t="str">
        <f>IF(N3&gt;0,(N3*VLOOKUP(Lookups!$K$11,Lookups!$M$10:$P$43,4,0)/VLOOKUP(O3,Lookups!$M$10:$P$43,4,0)),"")</f>
        <v/>
      </c>
      <c r="Q3" s="101" t="s">
        <v>1198</v>
      </c>
      <c r="R3" s="88" t="s">
        <v>152</v>
      </c>
      <c r="S3" s="34" t="s">
        <v>1526</v>
      </c>
      <c r="T3" s="134"/>
      <c r="U3" s="12"/>
    </row>
    <row r="4" spans="1:21" s="78" customFormat="1" ht="60" hidden="1" customHeight="1" outlineLevel="2" x14ac:dyDescent="0.25">
      <c r="A4" s="34" t="s">
        <v>848</v>
      </c>
      <c r="B4" s="34" t="s">
        <v>157</v>
      </c>
      <c r="C4" s="34" t="s">
        <v>504</v>
      </c>
      <c r="D4" s="41" t="s">
        <v>502</v>
      </c>
      <c r="E4" s="34" t="s">
        <v>678</v>
      </c>
      <c r="F4" s="34" t="s">
        <v>214</v>
      </c>
      <c r="G4" s="34"/>
      <c r="H4" s="77">
        <v>7476</v>
      </c>
      <c r="I4" s="15" t="s">
        <v>259</v>
      </c>
      <c r="J4" s="17">
        <f>IF(H4&gt;0,(H4*VLOOKUP(Lookups!$K$11,Lookups!$M$10:$P$43,4,0)/VLOOKUP(I4,Lookups!$M$10:$P$43,4,0)),"")</f>
        <v>8502.4289850082059</v>
      </c>
      <c r="K4" s="77"/>
      <c r="L4" s="15"/>
      <c r="M4" s="17" t="str">
        <f>IF(K4&gt;0,(K4*VLOOKUP(Lookups!$K$11,Lookups!$M$10:$P$43,4,0)/VLOOKUP(L4,Lookups!$M$10:$P$43,4,0)),"")</f>
        <v/>
      </c>
      <c r="N4" s="77"/>
      <c r="O4" s="15"/>
      <c r="P4" s="17" t="str">
        <f>IF(N4&gt;0,(N4*VLOOKUP(Lookups!$K$11,Lookups!$M$10:$P$43,4,0)/VLOOKUP(O4,Lookups!$M$10:$P$43,4,0)),"")</f>
        <v/>
      </c>
      <c r="Q4" s="101" t="s">
        <v>1198</v>
      </c>
      <c r="R4" s="15" t="s">
        <v>152</v>
      </c>
      <c r="S4" s="34" t="s">
        <v>1527</v>
      </c>
      <c r="T4" s="134"/>
      <c r="U4" s="12"/>
    </row>
    <row r="5" spans="1:21" s="78" customFormat="1" ht="60" hidden="1" customHeight="1" outlineLevel="2" x14ac:dyDescent="0.25">
      <c r="A5" s="34" t="s">
        <v>848</v>
      </c>
      <c r="B5" s="34" t="s">
        <v>157</v>
      </c>
      <c r="C5" s="34" t="s">
        <v>505</v>
      </c>
      <c r="D5" s="41" t="s">
        <v>1524</v>
      </c>
      <c r="E5" s="34" t="s">
        <v>678</v>
      </c>
      <c r="F5" s="34" t="s">
        <v>1179</v>
      </c>
      <c r="G5" s="34"/>
      <c r="H5" s="77">
        <v>4596</v>
      </c>
      <c r="I5" s="15" t="s">
        <v>259</v>
      </c>
      <c r="J5" s="17">
        <f>IF(H5&gt;0,(H5*VLOOKUP(Lookups!$K$11,Lookups!$M$10:$P$43,4,0)/VLOOKUP(I5,Lookups!$M$10:$P$43,4,0)),"")</f>
        <v>5227.0149297883509</v>
      </c>
      <c r="K5" s="77"/>
      <c r="L5" s="15"/>
      <c r="M5" s="17" t="str">
        <f>IF(K5&gt;0,(K5*VLOOKUP(Lookups!$K$11,Lookups!$M$10:$P$43,4,0)/VLOOKUP(L5,Lookups!$M$10:$P$43,4,0)),"")</f>
        <v/>
      </c>
      <c r="N5" s="77"/>
      <c r="O5" s="15"/>
      <c r="P5" s="17" t="str">
        <f>IF(N5&gt;0,(N5*VLOOKUP(Lookups!$K$11,Lookups!$M$10:$P$43,4,0)/VLOOKUP(O5,Lookups!$M$10:$P$43,4,0)),"")</f>
        <v/>
      </c>
      <c r="Q5" s="101" t="s">
        <v>1198</v>
      </c>
      <c r="R5" s="15" t="s">
        <v>152</v>
      </c>
      <c r="S5" s="34" t="s">
        <v>1528</v>
      </c>
      <c r="T5" s="134"/>
      <c r="U5" s="12"/>
    </row>
    <row r="6" spans="1:21" s="78" customFormat="1" ht="60" hidden="1" customHeight="1" outlineLevel="2" x14ac:dyDescent="0.25">
      <c r="A6" s="34" t="s">
        <v>848</v>
      </c>
      <c r="B6" s="34" t="s">
        <v>157</v>
      </c>
      <c r="C6" s="34" t="s">
        <v>1525</v>
      </c>
      <c r="D6" s="41" t="s">
        <v>503</v>
      </c>
      <c r="E6" s="34" t="s">
        <v>678</v>
      </c>
      <c r="F6" s="34" t="s">
        <v>162</v>
      </c>
      <c r="G6" s="34"/>
      <c r="H6" s="77">
        <v>585</v>
      </c>
      <c r="I6" s="15" t="s">
        <v>259</v>
      </c>
      <c r="J6" s="17">
        <f>IF(H6&gt;0,(H6*VLOOKUP(Lookups!$K$11,Lookups!$M$10:$P$43,4,0)/VLOOKUP(I6,Lookups!$M$10:$P$43,4,0)),"")</f>
        <v>665.31847996653289</v>
      </c>
      <c r="K6" s="77"/>
      <c r="L6" s="15"/>
      <c r="M6" s="17" t="str">
        <f>IF(K6&gt;0,(K6*VLOOKUP(Lookups!$K$11,Lookups!$M$10:$P$43,4,0)/VLOOKUP(L6,Lookups!$M$10:$P$43,4,0)),"")</f>
        <v/>
      </c>
      <c r="N6" s="77"/>
      <c r="O6" s="15"/>
      <c r="P6" s="17" t="str">
        <f>IF(N6&gt;0,(N6*VLOOKUP(Lookups!$K$11,Lookups!$M$10:$P$43,4,0)/VLOOKUP(O6,Lookups!$M$10:$P$43,4,0)),"")</f>
        <v/>
      </c>
      <c r="Q6" s="117" t="s">
        <v>1529</v>
      </c>
      <c r="R6" s="15" t="s">
        <v>152</v>
      </c>
      <c r="S6" s="34" t="s">
        <v>1530</v>
      </c>
      <c r="T6" s="134"/>
      <c r="U6" s="12"/>
    </row>
    <row r="7" spans="1:21" s="53" customFormat="1" ht="52.8" hidden="1" outlineLevel="1" x14ac:dyDescent="0.25">
      <c r="A7" s="50" t="s">
        <v>848</v>
      </c>
      <c r="B7" s="50" t="s">
        <v>157</v>
      </c>
      <c r="C7" s="50" t="s">
        <v>2614</v>
      </c>
      <c r="D7" s="50" t="s">
        <v>1544</v>
      </c>
      <c r="E7" s="4" t="s">
        <v>164</v>
      </c>
      <c r="F7" s="4" t="s">
        <v>214</v>
      </c>
      <c r="G7" s="4" t="s">
        <v>681</v>
      </c>
      <c r="H7" s="11">
        <v>61.05</v>
      </c>
      <c r="I7" s="181" t="s">
        <v>1522</v>
      </c>
      <c r="J7" s="221">
        <f>IF(H7&gt;0,(H7*VLOOKUP(Lookups!$K$11,Lookups!$M$10:$P$43,4,0)/VLOOKUP(I7,Lookups!$M$10:$P$43,4,0)),"")</f>
        <v>61.05</v>
      </c>
      <c r="K7" s="11"/>
      <c r="L7" s="181"/>
      <c r="M7" s="221" t="str">
        <f>IF(K7&gt;0,(K7*VLOOKUP(Lookups!$K$11,Lookups!$M$10:$P$43,4,0)/VLOOKUP(L7,Lookups!$M$10:$P$43,4,0)),"")</f>
        <v/>
      </c>
      <c r="N7" s="11"/>
      <c r="O7" s="181"/>
      <c r="P7" s="221" t="str">
        <f>IF(N7&gt;0,(N7*VLOOKUP(Lookups!$K$11,Lookups!$M$10:$P$43,4,0)/VLOOKUP(O7,Lookups!$M$10:$P$43,4,0)),"")</f>
        <v/>
      </c>
      <c r="Q7" s="82" t="s">
        <v>2498</v>
      </c>
      <c r="R7" s="181" t="s">
        <v>154</v>
      </c>
      <c r="S7" s="4" t="s">
        <v>2617</v>
      </c>
      <c r="T7" s="176" t="s">
        <v>923</v>
      </c>
      <c r="U7" s="4" t="s">
        <v>2499</v>
      </c>
    </row>
    <row r="8" spans="1:21" s="53" customFormat="1" ht="52.8" hidden="1" outlineLevel="1" x14ac:dyDescent="0.25">
      <c r="A8" s="50" t="s">
        <v>848</v>
      </c>
      <c r="B8" s="50" t="s">
        <v>157</v>
      </c>
      <c r="C8" s="50" t="s">
        <v>833</v>
      </c>
      <c r="D8" s="50" t="s">
        <v>1545</v>
      </c>
      <c r="E8" s="4" t="s">
        <v>164</v>
      </c>
      <c r="F8" s="4" t="s">
        <v>214</v>
      </c>
      <c r="G8" s="4" t="s">
        <v>681</v>
      </c>
      <c r="H8" s="11">
        <v>77</v>
      </c>
      <c r="I8" s="181" t="s">
        <v>1522</v>
      </c>
      <c r="J8" s="221">
        <f>IF(H8&gt;0,(H8*VLOOKUP(Lookups!$K$11,Lookups!$M$10:$P$43,4,0)/VLOOKUP(I8,Lookups!$M$10:$P$43,4,0)),"")</f>
        <v>77</v>
      </c>
      <c r="K8" s="11"/>
      <c r="L8" s="181"/>
      <c r="M8" s="221" t="str">
        <f>IF(K8&gt;0,(K8*VLOOKUP(Lookups!$K$11,Lookups!$M$10:$P$43,4,0)/VLOOKUP(L8,Lookups!$M$10:$P$43,4,0)),"")</f>
        <v/>
      </c>
      <c r="N8" s="11"/>
      <c r="O8" s="181"/>
      <c r="P8" s="221" t="str">
        <f>IF(N8&gt;0,(N8*VLOOKUP(Lookups!$K$11,Lookups!$M$10:$P$43,4,0)/VLOOKUP(O8,Lookups!$M$10:$P$43,4,0)),"")</f>
        <v/>
      </c>
      <c r="Q8" s="82" t="s">
        <v>2498</v>
      </c>
      <c r="R8" s="181" t="s">
        <v>154</v>
      </c>
      <c r="S8" s="4" t="s">
        <v>2500</v>
      </c>
      <c r="T8" s="176" t="s">
        <v>923</v>
      </c>
      <c r="U8" s="4" t="s">
        <v>2499</v>
      </c>
    </row>
    <row r="9" spans="1:21" s="78" customFormat="1" ht="60" hidden="1" customHeight="1" outlineLevel="1" collapsed="1" x14ac:dyDescent="0.25">
      <c r="A9" s="42" t="s">
        <v>848</v>
      </c>
      <c r="B9" s="42" t="s">
        <v>157</v>
      </c>
      <c r="C9" s="42" t="s">
        <v>834</v>
      </c>
      <c r="D9" s="42" t="s">
        <v>714</v>
      </c>
      <c r="E9" s="34" t="s">
        <v>174</v>
      </c>
      <c r="F9" s="34" t="s">
        <v>214</v>
      </c>
      <c r="G9" s="34" t="s">
        <v>681</v>
      </c>
      <c r="H9" s="77">
        <v>68</v>
      </c>
      <c r="I9" s="15" t="s">
        <v>255</v>
      </c>
      <c r="J9" s="17">
        <f>IF(H9&gt;0,(H9*VLOOKUP(Lookups!$K$11,Lookups!$M$10:$P$43,4,0)/VLOOKUP(I9,Lookups!$M$10:$P$43,4,0)),"")</f>
        <v>81.858630095522969</v>
      </c>
      <c r="K9" s="77"/>
      <c r="L9" s="15"/>
      <c r="M9" s="17" t="str">
        <f>IF(K9&gt;0,(K9*VLOOKUP(Lookups!$K$11,Lookups!$M$10:$P$43,4,0)/VLOOKUP(L9,Lookups!$M$10:$P$43,4,0)),"")</f>
        <v/>
      </c>
      <c r="N9" s="77"/>
      <c r="O9" s="15"/>
      <c r="P9" s="17" t="str">
        <f>IF(N9&gt;0,(N9*VLOOKUP(Lookups!$K$11,Lookups!$M$10:$P$43,4,0)/VLOOKUP(O9,Lookups!$M$10:$P$43,4,0)),"")</f>
        <v/>
      </c>
      <c r="Q9" s="82" t="s">
        <v>3197</v>
      </c>
      <c r="R9" s="15" t="s">
        <v>152</v>
      </c>
      <c r="S9" s="83" t="s">
        <v>1238</v>
      </c>
      <c r="T9" s="134"/>
      <c r="U9" s="94"/>
    </row>
    <row r="10" spans="1:21" s="36" customFormat="1" ht="60" hidden="1" customHeight="1" outlineLevel="1" x14ac:dyDescent="0.25">
      <c r="A10" s="42" t="s">
        <v>848</v>
      </c>
      <c r="B10" s="42" t="s">
        <v>157</v>
      </c>
      <c r="C10" s="42" t="s">
        <v>2615</v>
      </c>
      <c r="D10" s="50" t="s">
        <v>1543</v>
      </c>
      <c r="E10" s="12" t="s">
        <v>174</v>
      </c>
      <c r="F10" s="12" t="s">
        <v>214</v>
      </c>
      <c r="G10" s="12" t="s">
        <v>681</v>
      </c>
      <c r="H10" s="14">
        <v>363</v>
      </c>
      <c r="I10" s="15" t="s">
        <v>255</v>
      </c>
      <c r="J10" s="17">
        <f>IF(H10&gt;0,(H10*VLOOKUP(Lookups!$K$11,Lookups!$M$10:$P$43,4,0)/VLOOKUP(I10,Lookups!$M$10:$P$43,4,0)),"")</f>
        <v>436.98062830404177</v>
      </c>
      <c r="K10" s="14"/>
      <c r="L10" s="15"/>
      <c r="M10" s="17" t="str">
        <f>IF(K10&gt;0,(K10*VLOOKUP(Lookups!$K$11,Lookups!$M$10:$P$43,4,0)/VLOOKUP(L10,Lookups!$M$10:$P$43,4,0)),"")</f>
        <v/>
      </c>
      <c r="N10" s="14"/>
      <c r="O10" s="15"/>
      <c r="P10" s="17" t="str">
        <f>IF(N10&gt;0,(N10*VLOOKUP(Lookups!$K$11,Lookups!$M$10:$P$43,4,0)/VLOOKUP(O10,Lookups!$M$10:$P$43,4,0)),"")</f>
        <v/>
      </c>
      <c r="Q10" s="82" t="s">
        <v>3197</v>
      </c>
      <c r="R10" s="15" t="s">
        <v>152</v>
      </c>
      <c r="S10" s="43" t="s">
        <v>1239</v>
      </c>
      <c r="T10" s="134"/>
      <c r="U10" s="12"/>
    </row>
    <row r="11" spans="1:21" s="36" customFormat="1" ht="60" hidden="1" customHeight="1" outlineLevel="1" x14ac:dyDescent="0.25">
      <c r="A11" s="42" t="s">
        <v>848</v>
      </c>
      <c r="B11" s="42" t="s">
        <v>157</v>
      </c>
      <c r="C11" s="42" t="s">
        <v>2616</v>
      </c>
      <c r="D11" s="50" t="s">
        <v>746</v>
      </c>
      <c r="E11" s="12" t="s">
        <v>173</v>
      </c>
      <c r="F11" s="12" t="s">
        <v>214</v>
      </c>
      <c r="G11" s="12" t="s">
        <v>681</v>
      </c>
      <c r="H11" s="14">
        <v>7</v>
      </c>
      <c r="I11" s="15" t="s">
        <v>255</v>
      </c>
      <c r="J11" s="17">
        <f>IF(H11&gt;0,(H11*VLOOKUP(Lookups!$K$11,Lookups!$M$10:$P$43,4,0)/VLOOKUP(I11,Lookups!$M$10:$P$43,4,0)),"")</f>
        <v>8.4266236863038362</v>
      </c>
      <c r="K11" s="14"/>
      <c r="L11" s="15"/>
      <c r="M11" s="17" t="str">
        <f>IF(K11&gt;0,(K11*VLOOKUP(Lookups!$K$11,Lookups!$M$10:$P$43,4,0)/VLOOKUP(L11,Lookups!$M$10:$P$43,4,0)),"")</f>
        <v/>
      </c>
      <c r="N11" s="14"/>
      <c r="O11" s="15"/>
      <c r="P11" s="17" t="str">
        <f>IF(N11&gt;0,(N11*VLOOKUP(Lookups!$K$11,Lookups!$M$10:$P$43,4,0)/VLOOKUP(O11,Lookups!$M$10:$P$43,4,0)),"")</f>
        <v/>
      </c>
      <c r="Q11" s="82" t="s">
        <v>3197</v>
      </c>
      <c r="R11" s="15" t="s">
        <v>152</v>
      </c>
      <c r="S11" s="43" t="s">
        <v>1240</v>
      </c>
      <c r="T11" s="134"/>
      <c r="U11" s="94"/>
    </row>
    <row r="12" spans="1:21" s="78" customFormat="1" ht="60" hidden="1" customHeight="1" outlineLevel="1" x14ac:dyDescent="0.25">
      <c r="A12" s="42" t="s">
        <v>848</v>
      </c>
      <c r="B12" s="42" t="s">
        <v>157</v>
      </c>
      <c r="C12" s="42" t="s">
        <v>835</v>
      </c>
      <c r="D12" s="50" t="s">
        <v>927</v>
      </c>
      <c r="E12" s="12" t="s">
        <v>173</v>
      </c>
      <c r="F12" s="12" t="s">
        <v>214</v>
      </c>
      <c r="G12" s="12" t="s">
        <v>681</v>
      </c>
      <c r="H12" s="77">
        <v>51</v>
      </c>
      <c r="I12" s="15" t="s">
        <v>255</v>
      </c>
      <c r="J12" s="17">
        <f>IF(H12&gt;0,(H12*VLOOKUP(Lookups!$K$11,Lookups!$M$10:$P$43,4,0)/VLOOKUP(I12,Lookups!$M$10:$P$43,4,0)),"")</f>
        <v>61.39397257164223</v>
      </c>
      <c r="K12" s="77"/>
      <c r="L12" s="15"/>
      <c r="M12" s="17" t="str">
        <f>IF(K12&gt;0,(K12*VLOOKUP(Lookups!$K$11,Lookups!$M$10:$P$43,4,0)/VLOOKUP(L12,Lookups!$M$10:$P$43,4,0)),"")</f>
        <v/>
      </c>
      <c r="N12" s="77"/>
      <c r="O12" s="15"/>
      <c r="P12" s="17" t="str">
        <f>IF(N12&gt;0,(N12*VLOOKUP(Lookups!$K$11,Lookups!$M$10:$P$43,4,0)/VLOOKUP(O12,Lookups!$M$10:$P$43,4,0)),"")</f>
        <v/>
      </c>
      <c r="Q12" s="82" t="s">
        <v>3197</v>
      </c>
      <c r="R12" s="15" t="s">
        <v>152</v>
      </c>
      <c r="S12" s="34" t="s">
        <v>1241</v>
      </c>
      <c r="T12" s="180"/>
      <c r="U12" s="94"/>
    </row>
    <row r="13" spans="1:21" s="78" customFormat="1" ht="60" customHeight="1" collapsed="1" x14ac:dyDescent="0.25">
      <c r="A13" s="40" t="s">
        <v>848</v>
      </c>
      <c r="B13" s="40" t="s">
        <v>157</v>
      </c>
      <c r="C13" s="40" t="s">
        <v>508</v>
      </c>
      <c r="D13" s="48" t="s">
        <v>1531</v>
      </c>
      <c r="E13" s="34" t="s">
        <v>678</v>
      </c>
      <c r="F13" s="34" t="s">
        <v>214</v>
      </c>
      <c r="G13" s="34" t="s">
        <v>243</v>
      </c>
      <c r="H13" s="77">
        <v>12818</v>
      </c>
      <c r="I13" s="15" t="s">
        <v>259</v>
      </c>
      <c r="J13" s="17">
        <f>IF(H13&gt;0,(H13*VLOOKUP(Lookups!$K$11,Lookups!$M$10:$P$43,4,0)/VLOOKUP(I13,Lookups!$M$10:$P$43,4,0)),"")</f>
        <v>14577.867138822256</v>
      </c>
      <c r="K13" s="77">
        <v>14352</v>
      </c>
      <c r="L13" s="15" t="s">
        <v>259</v>
      </c>
      <c r="M13" s="17">
        <f>IF(K13&gt;0,(K13*VLOOKUP(Lookups!$K$11,Lookups!$M$10:$P$43,4,0)/VLOOKUP(L13,Lookups!$M$10:$P$43,4,0)),"")</f>
        <v>16322.480041845607</v>
      </c>
      <c r="N13" s="77"/>
      <c r="O13" s="15"/>
      <c r="P13" s="17" t="str">
        <f>IF(N13&gt;0,(N13*VLOOKUP(Lookups!$K$11,Lookups!$M$10:$P$43,4,0)/VLOOKUP(O13,Lookups!$M$10:$P$43,4,0)),"")</f>
        <v/>
      </c>
      <c r="Q13" s="101" t="s">
        <v>1198</v>
      </c>
      <c r="R13" s="15" t="s">
        <v>152</v>
      </c>
      <c r="S13" s="34" t="s">
        <v>1534</v>
      </c>
      <c r="T13" s="134"/>
      <c r="U13" s="12"/>
    </row>
    <row r="14" spans="1:21" s="78" customFormat="1" ht="60" hidden="1" customHeight="1" outlineLevel="2" x14ac:dyDescent="0.25">
      <c r="A14" s="34" t="s">
        <v>848</v>
      </c>
      <c r="B14" s="34" t="s">
        <v>157</v>
      </c>
      <c r="C14" s="34" t="s">
        <v>715</v>
      </c>
      <c r="D14" s="41" t="s">
        <v>500</v>
      </c>
      <c r="E14" s="34" t="s">
        <v>678</v>
      </c>
      <c r="F14" s="34" t="s">
        <v>214</v>
      </c>
      <c r="G14" s="34"/>
      <c r="H14" s="77">
        <v>9654</v>
      </c>
      <c r="I14" s="15" t="s">
        <v>259</v>
      </c>
      <c r="J14" s="17">
        <f>IF(H14&gt;0,(H14*VLOOKUP(Lookups!$K$11,Lookups!$M$10:$P$43,4,0)/VLOOKUP(I14,Lookups!$M$10:$P$43,4,0)),"")</f>
        <v>10979.460864268221</v>
      </c>
      <c r="K14" s="77"/>
      <c r="L14" s="15"/>
      <c r="M14" s="17" t="str">
        <f>IF(K14&gt;0,(K14*VLOOKUP(Lookups!$K$11,Lookups!$M$10:$P$43,4,0)/VLOOKUP(L14,Lookups!$M$10:$P$43,4,0)),"")</f>
        <v/>
      </c>
      <c r="N14" s="77"/>
      <c r="O14" s="15"/>
      <c r="P14" s="17" t="str">
        <f>IF(N14&gt;0,(N14*VLOOKUP(Lookups!$K$11,Lookups!$M$10:$P$43,4,0)/VLOOKUP(O14,Lookups!$M$10:$P$43,4,0)),"")</f>
        <v/>
      </c>
      <c r="Q14" s="101" t="s">
        <v>1198</v>
      </c>
      <c r="R14" s="15" t="s">
        <v>152</v>
      </c>
      <c r="S14" s="34" t="s">
        <v>1535</v>
      </c>
      <c r="T14" s="134"/>
      <c r="U14" s="12"/>
    </row>
    <row r="15" spans="1:21" s="78" customFormat="1" ht="60" hidden="1" customHeight="1" outlineLevel="2" x14ac:dyDescent="0.25">
      <c r="A15" s="34" t="s">
        <v>848</v>
      </c>
      <c r="B15" s="34" t="s">
        <v>157</v>
      </c>
      <c r="C15" s="34" t="s">
        <v>716</v>
      </c>
      <c r="D15" s="41" t="s">
        <v>1532</v>
      </c>
      <c r="E15" s="34" t="s">
        <v>678</v>
      </c>
      <c r="F15" s="34" t="s">
        <v>1179</v>
      </c>
      <c r="G15" s="34"/>
      <c r="H15" s="77">
        <v>1995</v>
      </c>
      <c r="I15" s="15" t="s">
        <v>259</v>
      </c>
      <c r="J15" s="17">
        <f>IF(H15&gt;0,(H15*VLOOKUP(Lookups!$K$11,Lookups!$M$10:$P$43,4,0)/VLOOKUP(I15,Lookups!$M$10:$P$43,4,0)),"")</f>
        <v>2268.9066111679199</v>
      </c>
      <c r="K15" s="77"/>
      <c r="L15" s="15"/>
      <c r="M15" s="17" t="str">
        <f>IF(K15&gt;0,(K15*VLOOKUP(Lookups!$K$11,Lookups!$M$10:$P$43,4,0)/VLOOKUP(L15,Lookups!$M$10:$P$43,4,0)),"")</f>
        <v/>
      </c>
      <c r="N15" s="77"/>
      <c r="O15" s="15"/>
      <c r="P15" s="17" t="str">
        <f>IF(N15&gt;0,(N15*VLOOKUP(Lookups!$K$11,Lookups!$M$10:$P$43,4,0)/VLOOKUP(O15,Lookups!$M$10:$P$43,4,0)),"")</f>
        <v/>
      </c>
      <c r="Q15" s="101" t="s">
        <v>1198</v>
      </c>
      <c r="R15" s="15" t="s">
        <v>152</v>
      </c>
      <c r="S15" s="34" t="s">
        <v>1536</v>
      </c>
      <c r="T15" s="134"/>
      <c r="U15" s="12"/>
    </row>
    <row r="16" spans="1:21" s="78" customFormat="1" ht="60" hidden="1" customHeight="1" outlineLevel="2" x14ac:dyDescent="0.25">
      <c r="A16" s="34" t="s">
        <v>848</v>
      </c>
      <c r="B16" s="34" t="s">
        <v>157</v>
      </c>
      <c r="C16" s="34" t="s">
        <v>1533</v>
      </c>
      <c r="D16" s="41" t="s">
        <v>501</v>
      </c>
      <c r="E16" s="34" t="s">
        <v>678</v>
      </c>
      <c r="F16" s="34" t="s">
        <v>162</v>
      </c>
      <c r="G16" s="34"/>
      <c r="H16" s="77">
        <v>1169</v>
      </c>
      <c r="I16" s="15" t="s">
        <v>259</v>
      </c>
      <c r="J16" s="17">
        <f>IF(H16&gt;0,(H16*VLOOKUP(Lookups!$K$11,Lookups!$M$10:$P$43,4,0)/VLOOKUP(I16,Lookups!$M$10:$P$43,4,0)),"")</f>
        <v>1329.4996633861144</v>
      </c>
      <c r="K16" s="77"/>
      <c r="L16" s="15"/>
      <c r="M16" s="17" t="str">
        <f>IF(K16&gt;0,(K16*VLOOKUP(Lookups!$K$11,Lookups!$M$10:$P$43,4,0)/VLOOKUP(L16,Lookups!$M$10:$P$43,4,0)),"")</f>
        <v/>
      </c>
      <c r="N16" s="77"/>
      <c r="O16" s="15"/>
      <c r="P16" s="17" t="str">
        <f>IF(N16&gt;0,(N16*VLOOKUP(Lookups!$K$11,Lookups!$M$10:$P$43,4,0)/VLOOKUP(O16,Lookups!$M$10:$P$43,4,0)),"")</f>
        <v/>
      </c>
      <c r="Q16" s="117" t="s">
        <v>1529</v>
      </c>
      <c r="R16" s="15" t="s">
        <v>152</v>
      </c>
      <c r="S16" s="34" t="s">
        <v>1530</v>
      </c>
      <c r="T16" s="134"/>
      <c r="U16" s="12"/>
    </row>
    <row r="17" spans="1:21" s="53" customFormat="1" ht="60" hidden="1" customHeight="1" outlineLevel="1" x14ac:dyDescent="0.25">
      <c r="A17" s="50" t="s">
        <v>848</v>
      </c>
      <c r="B17" s="50" t="s">
        <v>157</v>
      </c>
      <c r="C17" s="50" t="s">
        <v>459</v>
      </c>
      <c r="D17" s="50" t="s">
        <v>1546</v>
      </c>
      <c r="E17" s="4" t="s">
        <v>164</v>
      </c>
      <c r="F17" s="4" t="s">
        <v>214</v>
      </c>
      <c r="G17" s="4" t="s">
        <v>681</v>
      </c>
      <c r="H17" s="11">
        <v>61.05</v>
      </c>
      <c r="I17" s="181" t="s">
        <v>1522</v>
      </c>
      <c r="J17" s="221">
        <f>IF(H17&gt;0,(H17*VLOOKUP(Lookups!$K$11,Lookups!$M$10:$P$43,4,0)/VLOOKUP(I17,Lookups!$M$10:$P$43,4,0)),"")</f>
        <v>61.05</v>
      </c>
      <c r="K17" s="11"/>
      <c r="L17" s="181"/>
      <c r="M17" s="221" t="str">
        <f>IF(K17&gt;0,(K17*VLOOKUP(Lookups!$K$11,Lookups!$M$10:$P$43,4,0)/VLOOKUP(L17,Lookups!$M$10:$P$43,4,0)),"")</f>
        <v/>
      </c>
      <c r="N17" s="11"/>
      <c r="O17" s="181"/>
      <c r="P17" s="221" t="str">
        <f>IF(N17&gt;0,(N17*VLOOKUP(Lookups!$K$11,Lookups!$M$10:$P$43,4,0)/VLOOKUP(O17,Lookups!$M$10:$P$43,4,0)),"")</f>
        <v/>
      </c>
      <c r="Q17" s="82" t="s">
        <v>2520</v>
      </c>
      <c r="R17" s="181" t="s">
        <v>154</v>
      </c>
      <c r="S17" s="4" t="s">
        <v>1548</v>
      </c>
      <c r="T17" s="176" t="s">
        <v>923</v>
      </c>
      <c r="U17" s="4" t="s">
        <v>2499</v>
      </c>
    </row>
    <row r="18" spans="1:21" s="53" customFormat="1" ht="60" hidden="1" customHeight="1" outlineLevel="1" x14ac:dyDescent="0.25">
      <c r="A18" s="50" t="s">
        <v>848</v>
      </c>
      <c r="B18" s="50" t="s">
        <v>157</v>
      </c>
      <c r="C18" s="50" t="s">
        <v>460</v>
      </c>
      <c r="D18" s="50" t="s">
        <v>1547</v>
      </c>
      <c r="E18" s="4" t="s">
        <v>164</v>
      </c>
      <c r="F18" s="4" t="s">
        <v>214</v>
      </c>
      <c r="G18" s="4" t="s">
        <v>681</v>
      </c>
      <c r="H18" s="11">
        <v>77</v>
      </c>
      <c r="I18" s="181" t="s">
        <v>1522</v>
      </c>
      <c r="J18" s="221">
        <f>IF(H18&gt;0,(H18*VLOOKUP(Lookups!$K$11,Lookups!$M$10:$P$43,4,0)/VLOOKUP(I18,Lookups!$M$10:$P$43,4,0)),"")</f>
        <v>77</v>
      </c>
      <c r="K18" s="11"/>
      <c r="L18" s="181"/>
      <c r="M18" s="221" t="str">
        <f>IF(K18&gt;0,(K18*VLOOKUP(Lookups!$K$11,Lookups!$M$10:$P$43,4,0)/VLOOKUP(L18,Lookups!$M$10:$P$43,4,0)),"")</f>
        <v/>
      </c>
      <c r="N18" s="11"/>
      <c r="O18" s="181"/>
      <c r="P18" s="221" t="str">
        <f>IF(N18&gt;0,(N18*VLOOKUP(Lookups!$K$11,Lookups!$M$10:$P$43,4,0)/VLOOKUP(O18,Lookups!$M$10:$P$43,4,0)),"")</f>
        <v/>
      </c>
      <c r="Q18" s="82" t="s">
        <v>2520</v>
      </c>
      <c r="R18" s="181" t="s">
        <v>154</v>
      </c>
      <c r="S18" s="4" t="s">
        <v>2618</v>
      </c>
      <c r="T18" s="176" t="s">
        <v>923</v>
      </c>
      <c r="U18" s="4" t="s">
        <v>2499</v>
      </c>
    </row>
    <row r="19" spans="1:21" s="53" customFormat="1" ht="60" hidden="1" customHeight="1" outlineLevel="1" x14ac:dyDescent="0.25">
      <c r="A19" s="50" t="s">
        <v>848</v>
      </c>
      <c r="B19" s="50" t="s">
        <v>157</v>
      </c>
      <c r="C19" s="50" t="s">
        <v>461</v>
      </c>
      <c r="D19" s="50" t="s">
        <v>1549</v>
      </c>
      <c r="E19" s="4" t="s">
        <v>164</v>
      </c>
      <c r="F19" s="4" t="s">
        <v>214</v>
      </c>
      <c r="G19" s="4" t="s">
        <v>681</v>
      </c>
      <c r="H19" s="11">
        <v>77</v>
      </c>
      <c r="I19" s="181" t="s">
        <v>1522</v>
      </c>
      <c r="J19" s="221">
        <f>IF(H19&gt;0,(H19*VLOOKUP(Lookups!$K$11,Lookups!$M$10:$P$43,4,0)/VLOOKUP(I19,Lookups!$M$10:$P$43,4,0)),"")</f>
        <v>77</v>
      </c>
      <c r="K19" s="11"/>
      <c r="L19" s="181"/>
      <c r="M19" s="221" t="str">
        <f>IF(K19&gt;0,(K19*VLOOKUP(Lookups!$K$11,Lookups!$M$10:$P$43,4,0)/VLOOKUP(L19,Lookups!$M$10:$P$43,4,0)),"")</f>
        <v/>
      </c>
      <c r="N19" s="11"/>
      <c r="O19" s="181"/>
      <c r="P19" s="221" t="str">
        <f>IF(N19&gt;0,(N19*VLOOKUP(Lookups!$K$11,Lookups!$M$10:$P$43,4,0)/VLOOKUP(O19,Lookups!$M$10:$P$43,4,0)),"")</f>
        <v/>
      </c>
      <c r="Q19" s="82" t="s">
        <v>2520</v>
      </c>
      <c r="R19" s="181" t="s">
        <v>154</v>
      </c>
      <c r="S19" s="4" t="s">
        <v>870</v>
      </c>
      <c r="T19" s="176" t="s">
        <v>923</v>
      </c>
      <c r="U19" s="4" t="s">
        <v>2499</v>
      </c>
    </row>
    <row r="20" spans="1:21" s="53" customFormat="1" ht="60" hidden="1" customHeight="1" outlineLevel="1" x14ac:dyDescent="0.25">
      <c r="A20" s="50" t="s">
        <v>848</v>
      </c>
      <c r="B20" s="50" t="s">
        <v>157</v>
      </c>
      <c r="C20" s="50" t="s">
        <v>462</v>
      </c>
      <c r="D20" s="50" t="s">
        <v>1550</v>
      </c>
      <c r="E20" s="4" t="s">
        <v>164</v>
      </c>
      <c r="F20" s="4" t="s">
        <v>214</v>
      </c>
      <c r="G20" s="4" t="s">
        <v>681</v>
      </c>
      <c r="H20" s="11">
        <v>117.6</v>
      </c>
      <c r="I20" s="181" t="s">
        <v>1522</v>
      </c>
      <c r="J20" s="221">
        <f>IF(H20&gt;0,(H20*VLOOKUP(Lookups!$K$11,Lookups!$M$10:$P$43,4,0)/VLOOKUP(I20,Lookups!$M$10:$P$43,4,0)),"")</f>
        <v>117.6</v>
      </c>
      <c r="K20" s="11"/>
      <c r="L20" s="181"/>
      <c r="M20" s="221" t="str">
        <f>IF(K20&gt;0,(K20*VLOOKUP(Lookups!$K$11,Lookups!$M$10:$P$43,4,0)/VLOOKUP(L20,Lookups!$M$10:$P$43,4,0)),"")</f>
        <v/>
      </c>
      <c r="N20" s="11"/>
      <c r="O20" s="181"/>
      <c r="P20" s="221" t="str">
        <f>IF(N20&gt;0,(N20*VLOOKUP(Lookups!$K$11,Lookups!$M$10:$P$43,4,0)/VLOOKUP(O20,Lookups!$M$10:$P$43,4,0)),"")</f>
        <v/>
      </c>
      <c r="Q20" s="82" t="s">
        <v>2520</v>
      </c>
      <c r="R20" s="181" t="s">
        <v>154</v>
      </c>
      <c r="S20" s="4" t="s">
        <v>1182</v>
      </c>
      <c r="T20" s="176" t="s">
        <v>923</v>
      </c>
      <c r="U20" s="4" t="s">
        <v>2499</v>
      </c>
    </row>
    <row r="21" spans="1:21" s="78" customFormat="1" ht="60" hidden="1" customHeight="1" outlineLevel="1" x14ac:dyDescent="0.25">
      <c r="A21" s="42" t="s">
        <v>848</v>
      </c>
      <c r="B21" s="42" t="s">
        <v>157</v>
      </c>
      <c r="C21" s="42" t="s">
        <v>463</v>
      </c>
      <c r="D21" s="50" t="s">
        <v>708</v>
      </c>
      <c r="E21" s="34" t="s">
        <v>174</v>
      </c>
      <c r="F21" s="34" t="s">
        <v>214</v>
      </c>
      <c r="G21" s="34" t="s">
        <v>681</v>
      </c>
      <c r="H21" s="77">
        <v>232</v>
      </c>
      <c r="I21" s="15" t="s">
        <v>255</v>
      </c>
      <c r="J21" s="17">
        <f>IF(H21&gt;0,(H21*VLOOKUP(Lookups!$K$11,Lookups!$M$10:$P$43,4,0)/VLOOKUP(I21,Lookups!$M$10:$P$43,4,0)),"")</f>
        <v>279.28238503178426</v>
      </c>
      <c r="K21" s="77"/>
      <c r="L21" s="15"/>
      <c r="M21" s="17" t="str">
        <f>IF(K21&gt;0,(K21*VLOOKUP(Lookups!$K$11,Lookups!$M$10:$P$43,4,0)/VLOOKUP(L21,Lookups!$M$10:$P$43,4,0)),"")</f>
        <v/>
      </c>
      <c r="N21" s="77"/>
      <c r="O21" s="15"/>
      <c r="P21" s="17" t="str">
        <f>IF(N21&gt;0,(N21*VLOOKUP(Lookups!$K$11,Lookups!$M$10:$P$43,4,0)/VLOOKUP(O21,Lookups!$M$10:$P$43,4,0)),"")</f>
        <v/>
      </c>
      <c r="Q21" s="82" t="s">
        <v>3197</v>
      </c>
      <c r="R21" s="15" t="s">
        <v>152</v>
      </c>
      <c r="S21" s="83" t="s">
        <v>1242</v>
      </c>
      <c r="T21" s="134"/>
      <c r="U21" s="12"/>
    </row>
    <row r="22" spans="1:21" s="36" customFormat="1" ht="60" hidden="1" customHeight="1" outlineLevel="1" x14ac:dyDescent="0.25">
      <c r="A22" s="42" t="s">
        <v>848</v>
      </c>
      <c r="B22" s="42" t="s">
        <v>157</v>
      </c>
      <c r="C22" s="42" t="s">
        <v>464</v>
      </c>
      <c r="D22" s="50" t="s">
        <v>709</v>
      </c>
      <c r="E22" s="12" t="s">
        <v>174</v>
      </c>
      <c r="F22" s="12" t="s">
        <v>214</v>
      </c>
      <c r="G22" s="12" t="s">
        <v>681</v>
      </c>
      <c r="H22" s="14">
        <v>167</v>
      </c>
      <c r="I22" s="15" t="s">
        <v>255</v>
      </c>
      <c r="J22" s="17">
        <f>IF(H22&gt;0,(H22*VLOOKUP(Lookups!$K$11,Lookups!$M$10:$P$43,4,0)/VLOOKUP(I22,Lookups!$M$10:$P$43,4,0)),"")</f>
        <v>201.03516508753438</v>
      </c>
      <c r="K22" s="14"/>
      <c r="L22" s="15"/>
      <c r="M22" s="17" t="str">
        <f>IF(K22&gt;0,(K22*VLOOKUP(Lookups!$K$11,Lookups!$M$10:$P$43,4,0)/VLOOKUP(L22,Lookups!$M$10:$P$43,4,0)),"")</f>
        <v/>
      </c>
      <c r="N22" s="14"/>
      <c r="O22" s="15"/>
      <c r="P22" s="17" t="str">
        <f>IF(N22&gt;0,(N22*VLOOKUP(Lookups!$K$11,Lookups!$M$10:$P$43,4,0)/VLOOKUP(O22,Lookups!$M$10:$P$43,4,0)),"")</f>
        <v/>
      </c>
      <c r="Q22" s="82" t="s">
        <v>3197</v>
      </c>
      <c r="R22" s="15" t="s">
        <v>152</v>
      </c>
      <c r="S22" s="43" t="s">
        <v>1243</v>
      </c>
      <c r="T22" s="134"/>
      <c r="U22" s="12"/>
    </row>
    <row r="23" spans="1:21" s="78" customFormat="1" ht="60" customHeight="1" collapsed="1" x14ac:dyDescent="0.25">
      <c r="A23" s="40" t="s">
        <v>848</v>
      </c>
      <c r="B23" s="40" t="s">
        <v>157</v>
      </c>
      <c r="C23" s="40" t="s">
        <v>465</v>
      </c>
      <c r="D23" s="48" t="s">
        <v>982</v>
      </c>
      <c r="E23" s="34" t="s">
        <v>678</v>
      </c>
      <c r="F23" s="34" t="s">
        <v>214</v>
      </c>
      <c r="G23" s="34" t="s">
        <v>243</v>
      </c>
      <c r="H23" s="77">
        <v>5932</v>
      </c>
      <c r="I23" s="15" t="s">
        <v>259</v>
      </c>
      <c r="J23" s="17">
        <f>IF(H23&gt;0,(H23*VLOOKUP(Lookups!$K$11,Lookups!$M$10:$P$43,4,0)/VLOOKUP(I23,Lookups!$M$10:$P$43,4,0)),"")</f>
        <v>6746.4431165153383</v>
      </c>
      <c r="K23" s="77">
        <v>9548</v>
      </c>
      <c r="L23" s="15" t="s">
        <v>259</v>
      </c>
      <c r="M23" s="17">
        <f>IF(K23&gt;0,(K23*VLOOKUP(Lookups!$K$11,Lookups!$M$10:$P$43,4,0)/VLOOKUP(L23,Lookups!$M$10:$P$43,4,0)),"")</f>
        <v>10858.90743029138</v>
      </c>
      <c r="N23" s="77"/>
      <c r="O23" s="15"/>
      <c r="P23" s="17" t="str">
        <f>IF(N23&gt;0,(N23*VLOOKUP(Lookups!$K$11,Lookups!$M$10:$P$43,4,0)/VLOOKUP(O23,Lookups!$M$10:$P$43,4,0)),"")</f>
        <v/>
      </c>
      <c r="Q23" s="101" t="s">
        <v>1198</v>
      </c>
      <c r="R23" s="15" t="s">
        <v>152</v>
      </c>
      <c r="S23" s="34" t="s">
        <v>1539</v>
      </c>
      <c r="T23" s="134"/>
      <c r="U23" s="12"/>
    </row>
    <row r="24" spans="1:21" s="78" customFormat="1" ht="60" hidden="1" customHeight="1" outlineLevel="2" x14ac:dyDescent="0.25">
      <c r="A24" s="34" t="s">
        <v>848</v>
      </c>
      <c r="B24" s="34" t="s">
        <v>157</v>
      </c>
      <c r="C24" s="34" t="s">
        <v>506</v>
      </c>
      <c r="D24" s="41" t="s">
        <v>711</v>
      </c>
      <c r="E24" s="34" t="s">
        <v>678</v>
      </c>
      <c r="F24" s="34" t="s">
        <v>214</v>
      </c>
      <c r="G24" s="34"/>
      <c r="H24" s="77">
        <v>5565</v>
      </c>
      <c r="I24" s="15" t="s">
        <v>259</v>
      </c>
      <c r="J24" s="17">
        <f>IF(H24&gt;0,(H24*VLOOKUP(Lookups!$K$11,Lookups!$M$10:$P$43,4,0)/VLOOKUP(I24,Lookups!$M$10:$P$43,4,0)),"")</f>
        <v>6329.0552837841979</v>
      </c>
      <c r="K24" s="77"/>
      <c r="L24" s="15"/>
      <c r="M24" s="17" t="str">
        <f>IF(K24&gt;0,(K24*VLOOKUP(Lookups!$K$11,Lookups!$M$10:$P$43,4,0)/VLOOKUP(L24,Lookups!$M$10:$P$43,4,0)),"")</f>
        <v/>
      </c>
      <c r="N24" s="77"/>
      <c r="O24" s="15"/>
      <c r="P24" s="17" t="str">
        <f>IF(N24&gt;0,(N24*VLOOKUP(Lookups!$K$11,Lookups!$M$10:$P$43,4,0)/VLOOKUP(O24,Lookups!$M$10:$P$43,4,0)),"")</f>
        <v/>
      </c>
      <c r="Q24" s="101" t="s">
        <v>1198</v>
      </c>
      <c r="R24" s="15" t="s">
        <v>152</v>
      </c>
      <c r="S24" s="34" t="s">
        <v>1540</v>
      </c>
      <c r="T24" s="134"/>
      <c r="U24" s="12"/>
    </row>
    <row r="25" spans="1:21" s="78" customFormat="1" ht="60" hidden="1" customHeight="1" outlineLevel="2" x14ac:dyDescent="0.25">
      <c r="A25" s="34" t="s">
        <v>848</v>
      </c>
      <c r="B25" s="34" t="s">
        <v>157</v>
      </c>
      <c r="C25" s="34" t="s">
        <v>507</v>
      </c>
      <c r="D25" s="41" t="s">
        <v>1537</v>
      </c>
      <c r="E25" s="34" t="s">
        <v>678</v>
      </c>
      <c r="F25" s="34" t="s">
        <v>1179</v>
      </c>
      <c r="G25" s="34"/>
      <c r="H25" s="77">
        <v>-217</v>
      </c>
      <c r="I25" s="15" t="s">
        <v>259</v>
      </c>
      <c r="J25" s="17" t="str">
        <f>IF(H25&gt;0,(H25*VLOOKUP(Lookups!$K$11,Lookups!$M$10:$P$43,4,0)/VLOOKUP(I25,Lookups!$M$10:$P$43,4,0)),"")</f>
        <v/>
      </c>
      <c r="K25" s="77"/>
      <c r="L25" s="15"/>
      <c r="M25" s="17" t="str">
        <f>IF(K25&gt;0,(K25*VLOOKUP(Lookups!$K$11,Lookups!$M$10:$P$43,4,0)/VLOOKUP(L25,Lookups!$M$10:$P$43,4,0)),"")</f>
        <v/>
      </c>
      <c r="N25" s="77"/>
      <c r="O25" s="15"/>
      <c r="P25" s="17" t="str">
        <f>IF(N25&gt;0,(N25*VLOOKUP(Lookups!$K$11,Lookups!$M$10:$P$43,4,0)/VLOOKUP(O25,Lookups!$M$10:$P$43,4,0)),"")</f>
        <v/>
      </c>
      <c r="Q25" s="101" t="s">
        <v>1198</v>
      </c>
      <c r="R25" s="15" t="s">
        <v>152</v>
      </c>
      <c r="S25" s="34" t="s">
        <v>1541</v>
      </c>
      <c r="T25" s="134"/>
      <c r="U25" s="12"/>
    </row>
    <row r="26" spans="1:21" s="78" customFormat="1" ht="60" hidden="1" customHeight="1" outlineLevel="2" x14ac:dyDescent="0.25">
      <c r="A26" s="34" t="s">
        <v>848</v>
      </c>
      <c r="B26" s="34" t="s">
        <v>157</v>
      </c>
      <c r="C26" s="34" t="s">
        <v>1538</v>
      </c>
      <c r="D26" s="41" t="s">
        <v>712</v>
      </c>
      <c r="E26" s="34" t="s">
        <v>678</v>
      </c>
      <c r="F26" s="34" t="s">
        <v>162</v>
      </c>
      <c r="G26" s="34"/>
      <c r="H26" s="77">
        <v>585</v>
      </c>
      <c r="I26" s="15" t="s">
        <v>259</v>
      </c>
      <c r="J26" s="17">
        <f>IF(H26&gt;0,(H26*VLOOKUP(Lookups!$K$11,Lookups!$M$10:$P$43,4,0)/VLOOKUP(I26,Lookups!$M$10:$P$43,4,0)),"")</f>
        <v>665.31847996653289</v>
      </c>
      <c r="K26" s="77"/>
      <c r="L26" s="15"/>
      <c r="M26" s="17" t="str">
        <f>IF(K26&gt;0,(K26*VLOOKUP(Lookups!$K$11,Lookups!$M$10:$P$43,4,0)/VLOOKUP(L26,Lookups!$M$10:$P$43,4,0)),"")</f>
        <v/>
      </c>
      <c r="N26" s="77"/>
      <c r="O26" s="15"/>
      <c r="P26" s="17" t="str">
        <f>IF(N26&gt;0,(N26*VLOOKUP(Lookups!$K$11,Lookups!$M$10:$P$43,4,0)/VLOOKUP(O26,Lookups!$M$10:$P$43,4,0)),"")</f>
        <v/>
      </c>
      <c r="Q26" s="117" t="s">
        <v>1529</v>
      </c>
      <c r="R26" s="15" t="s">
        <v>152</v>
      </c>
      <c r="S26" s="34" t="s">
        <v>1542</v>
      </c>
      <c r="T26" s="134"/>
      <c r="U26" s="12"/>
    </row>
    <row r="27" spans="1:21" s="36" customFormat="1" ht="60" hidden="1" customHeight="1" outlineLevel="1" x14ac:dyDescent="0.25">
      <c r="A27" s="42" t="s">
        <v>848</v>
      </c>
      <c r="B27" s="42" t="s">
        <v>157</v>
      </c>
      <c r="C27" s="42" t="s">
        <v>466</v>
      </c>
      <c r="D27" s="42" t="s">
        <v>2633</v>
      </c>
      <c r="E27" s="12" t="s">
        <v>164</v>
      </c>
      <c r="F27" s="12" t="s">
        <v>214</v>
      </c>
      <c r="G27" s="12" t="s">
        <v>681</v>
      </c>
      <c r="H27" s="14">
        <v>61.05</v>
      </c>
      <c r="I27" s="15" t="s">
        <v>1522</v>
      </c>
      <c r="J27" s="17">
        <f>IF(H27&gt;0,(H27*VLOOKUP(Lookups!$K$11,Lookups!$M$10:$P$43,4,0)/VLOOKUP(I27,Lookups!$M$10:$P$43,4,0)),"")</f>
        <v>61.05</v>
      </c>
      <c r="K27" s="14"/>
      <c r="L27" s="15"/>
      <c r="M27" s="17" t="str">
        <f>IF(K27&gt;0,(K27*VLOOKUP(Lookups!$K$11,Lookups!$M$10:$P$43,4,0)/VLOOKUP(L27,Lookups!$M$10:$P$43,4,0)),"")</f>
        <v/>
      </c>
      <c r="N27" s="14"/>
      <c r="O27" s="15"/>
      <c r="P27" s="17" t="str">
        <f>IF(N27&gt;0,(N27*VLOOKUP(Lookups!$K$11,Lookups!$M$10:$P$43,4,0)/VLOOKUP(O27,Lookups!$M$10:$P$43,4,0)),"")</f>
        <v/>
      </c>
      <c r="Q27" s="82" t="s">
        <v>2627</v>
      </c>
      <c r="R27" s="15" t="s">
        <v>154</v>
      </c>
      <c r="S27" s="34" t="s">
        <v>2628</v>
      </c>
      <c r="T27" s="176" t="s">
        <v>923</v>
      </c>
      <c r="U27" s="4" t="s">
        <v>2499</v>
      </c>
    </row>
    <row r="28" spans="1:21" s="36" customFormat="1" ht="60" hidden="1" customHeight="1" outlineLevel="1" x14ac:dyDescent="0.25">
      <c r="A28" s="42" t="s">
        <v>848</v>
      </c>
      <c r="B28" s="42" t="s">
        <v>157</v>
      </c>
      <c r="C28" s="42" t="s">
        <v>509</v>
      </c>
      <c r="D28" s="42" t="s">
        <v>2634</v>
      </c>
      <c r="E28" s="12" t="s">
        <v>164</v>
      </c>
      <c r="F28" s="12" t="s">
        <v>214</v>
      </c>
      <c r="G28" s="12" t="s">
        <v>681</v>
      </c>
      <c r="H28" s="14">
        <v>77</v>
      </c>
      <c r="I28" s="15" t="s">
        <v>1522</v>
      </c>
      <c r="J28" s="17">
        <f>IF(H28&gt;0,(H28*VLOOKUP(Lookups!$K$11,Lookups!$M$10:$P$43,4,0)/VLOOKUP(I28,Lookups!$M$10:$P$43,4,0)),"")</f>
        <v>77</v>
      </c>
      <c r="K28" s="14"/>
      <c r="L28" s="15"/>
      <c r="M28" s="17" t="str">
        <f>IF(K28&gt;0,(K28*VLOOKUP(Lookups!$K$11,Lookups!$M$10:$P$43,4,0)/VLOOKUP(L28,Lookups!$M$10:$P$43,4,0)),"")</f>
        <v/>
      </c>
      <c r="N28" s="14"/>
      <c r="O28" s="15"/>
      <c r="P28" s="17" t="str">
        <f>IF(N28&gt;0,(N28*VLOOKUP(Lookups!$K$11,Lookups!$M$10:$P$43,4,0)/VLOOKUP(O28,Lookups!$M$10:$P$43,4,0)),"")</f>
        <v/>
      </c>
      <c r="Q28" s="82" t="s">
        <v>2627</v>
      </c>
      <c r="R28" s="15" t="s">
        <v>154</v>
      </c>
      <c r="S28" s="34" t="s">
        <v>2628</v>
      </c>
      <c r="T28" s="176" t="s">
        <v>923</v>
      </c>
      <c r="U28" s="4" t="s">
        <v>2499</v>
      </c>
    </row>
    <row r="29" spans="1:21" s="36" customFormat="1" ht="60" hidden="1" customHeight="1" outlineLevel="1" x14ac:dyDescent="0.25">
      <c r="A29" s="42" t="s">
        <v>848</v>
      </c>
      <c r="B29" s="42" t="s">
        <v>157</v>
      </c>
      <c r="C29" s="42" t="s">
        <v>510</v>
      </c>
      <c r="D29" s="42" t="s">
        <v>2635</v>
      </c>
      <c r="E29" s="12" t="s">
        <v>164</v>
      </c>
      <c r="F29" s="12" t="s">
        <v>214</v>
      </c>
      <c r="G29" s="12" t="s">
        <v>681</v>
      </c>
      <c r="H29" s="14">
        <v>61.05</v>
      </c>
      <c r="I29" s="15" t="s">
        <v>1522</v>
      </c>
      <c r="J29" s="17">
        <f>IF(H29&gt;0,(H29*VLOOKUP(Lookups!$K$11,Lookups!$M$10:$P$43,4,0)/VLOOKUP(I29,Lookups!$M$10:$P$43,4,0)),"")</f>
        <v>61.05</v>
      </c>
      <c r="K29" s="14"/>
      <c r="L29" s="15"/>
      <c r="M29" s="17" t="str">
        <f>IF(K29&gt;0,(K29*VLOOKUP(Lookups!$K$11,Lookups!$M$10:$P$43,4,0)/VLOOKUP(L29,Lookups!$M$10:$P$43,4,0)),"")</f>
        <v/>
      </c>
      <c r="N29" s="14"/>
      <c r="O29" s="15"/>
      <c r="P29" s="17" t="str">
        <f>IF(N29&gt;0,(N29*VLOOKUP(Lookups!$K$11,Lookups!$M$10:$P$43,4,0)/VLOOKUP(O29,Lookups!$M$10:$P$43,4,0)),"")</f>
        <v/>
      </c>
      <c r="Q29" s="82" t="s">
        <v>2627</v>
      </c>
      <c r="R29" s="15" t="s">
        <v>154</v>
      </c>
      <c r="S29" s="34" t="s">
        <v>2628</v>
      </c>
      <c r="T29" s="176" t="s">
        <v>923</v>
      </c>
      <c r="U29" s="4" t="s">
        <v>2499</v>
      </c>
    </row>
    <row r="30" spans="1:21" s="36" customFormat="1" ht="60" hidden="1" customHeight="1" outlineLevel="1" x14ac:dyDescent="0.25">
      <c r="A30" s="42" t="s">
        <v>848</v>
      </c>
      <c r="B30" s="42" t="s">
        <v>157</v>
      </c>
      <c r="C30" s="42" t="s">
        <v>511</v>
      </c>
      <c r="D30" s="42" t="s">
        <v>2636</v>
      </c>
      <c r="E30" s="12" t="s">
        <v>164</v>
      </c>
      <c r="F30" s="12" t="s">
        <v>214</v>
      </c>
      <c r="G30" s="12" t="s">
        <v>681</v>
      </c>
      <c r="H30" s="14">
        <v>92.2</v>
      </c>
      <c r="I30" s="15" t="s">
        <v>1522</v>
      </c>
      <c r="J30" s="17">
        <f>IF(H30&gt;0,(H30*VLOOKUP(Lookups!$K$11,Lookups!$M$10:$P$43,4,0)/VLOOKUP(I30,Lookups!$M$10:$P$43,4,0)),"")</f>
        <v>92.2</v>
      </c>
      <c r="K30" s="14"/>
      <c r="L30" s="15"/>
      <c r="M30" s="17" t="str">
        <f>IF(K30&gt;0,(K30*VLOOKUP(Lookups!$K$11,Lookups!$M$10:$P$43,4,0)/VLOOKUP(L30,Lookups!$M$10:$P$43,4,0)),"")</f>
        <v/>
      </c>
      <c r="N30" s="14"/>
      <c r="O30" s="15"/>
      <c r="P30" s="17" t="str">
        <f>IF(N30&gt;0,(N30*VLOOKUP(Lookups!$K$11,Lookups!$M$10:$P$43,4,0)/VLOOKUP(O30,Lookups!$M$10:$P$43,4,0)),"")</f>
        <v/>
      </c>
      <c r="Q30" s="82" t="s">
        <v>2627</v>
      </c>
      <c r="R30" s="15" t="s">
        <v>154</v>
      </c>
      <c r="S30" s="34" t="s">
        <v>2629</v>
      </c>
      <c r="T30" s="176" t="s">
        <v>923</v>
      </c>
      <c r="U30" s="4" t="s">
        <v>2499</v>
      </c>
    </row>
    <row r="31" spans="1:21" s="36" customFormat="1" ht="60" hidden="1" customHeight="1" outlineLevel="1" x14ac:dyDescent="0.25">
      <c r="A31" s="42" t="s">
        <v>848</v>
      </c>
      <c r="B31" s="42" t="s">
        <v>157</v>
      </c>
      <c r="C31" s="42" t="s">
        <v>512</v>
      </c>
      <c r="D31" s="42" t="s">
        <v>2637</v>
      </c>
      <c r="E31" s="12" t="s">
        <v>164</v>
      </c>
      <c r="F31" s="12" t="s">
        <v>214</v>
      </c>
      <c r="G31" s="12" t="s">
        <v>681</v>
      </c>
      <c r="H31" s="14">
        <v>61.05</v>
      </c>
      <c r="I31" s="15" t="s">
        <v>1522</v>
      </c>
      <c r="J31" s="17">
        <f>IF(H31&gt;0,(H31*VLOOKUP(Lookups!$K$11,Lookups!$M$10:$P$43,4,0)/VLOOKUP(I31,Lookups!$M$10:$P$43,4,0)),"")</f>
        <v>61.05</v>
      </c>
      <c r="K31" s="14"/>
      <c r="L31" s="15"/>
      <c r="M31" s="17" t="str">
        <f>IF(K31&gt;0,(K31*VLOOKUP(Lookups!$K$11,Lookups!$M$10:$P$43,4,0)/VLOOKUP(L31,Lookups!$M$10:$P$43,4,0)),"")</f>
        <v/>
      </c>
      <c r="N31" s="14"/>
      <c r="O31" s="15"/>
      <c r="P31" s="17" t="str">
        <f>IF(N31&gt;0,(N31*VLOOKUP(Lookups!$K$11,Lookups!$M$10:$P$43,4,0)/VLOOKUP(O31,Lookups!$M$10:$P$43,4,0)),"")</f>
        <v/>
      </c>
      <c r="Q31" s="82" t="s">
        <v>2627</v>
      </c>
      <c r="R31" s="15" t="s">
        <v>154</v>
      </c>
      <c r="S31" s="34" t="s">
        <v>2628</v>
      </c>
      <c r="T31" s="176" t="s">
        <v>923</v>
      </c>
      <c r="U31" s="4" t="s">
        <v>2499</v>
      </c>
    </row>
    <row r="32" spans="1:21" s="36" customFormat="1" ht="60" hidden="1" customHeight="1" outlineLevel="1" x14ac:dyDescent="0.25">
      <c r="A32" s="42" t="s">
        <v>848</v>
      </c>
      <c r="B32" s="42" t="s">
        <v>157</v>
      </c>
      <c r="C32" s="42" t="s">
        <v>513</v>
      </c>
      <c r="D32" s="42" t="s">
        <v>2638</v>
      </c>
      <c r="E32" s="12" t="s">
        <v>164</v>
      </c>
      <c r="F32" s="12" t="s">
        <v>214</v>
      </c>
      <c r="G32" s="12" t="s">
        <v>681</v>
      </c>
      <c r="H32" s="14">
        <v>77</v>
      </c>
      <c r="I32" s="15" t="s">
        <v>1522</v>
      </c>
      <c r="J32" s="17">
        <f>IF(H32&gt;0,(H32*VLOOKUP(Lookups!$K$11,Lookups!$M$10:$P$43,4,0)/VLOOKUP(I32,Lookups!$M$10:$P$43,4,0)),"")</f>
        <v>77</v>
      </c>
      <c r="K32" s="14"/>
      <c r="L32" s="15"/>
      <c r="M32" s="17" t="str">
        <f>IF(K32&gt;0,(K32*VLOOKUP(Lookups!$K$11,Lookups!$M$10:$P$43,4,0)/VLOOKUP(L32,Lookups!$M$10:$P$43,4,0)),"")</f>
        <v/>
      </c>
      <c r="N32" s="14"/>
      <c r="O32" s="15"/>
      <c r="P32" s="17" t="str">
        <f>IF(N32&gt;0,(N32*VLOOKUP(Lookups!$K$11,Lookups!$M$10:$P$43,4,0)/VLOOKUP(O32,Lookups!$M$10:$P$43,4,0)),"")</f>
        <v/>
      </c>
      <c r="Q32" s="82" t="s">
        <v>2627</v>
      </c>
      <c r="R32" s="15" t="s">
        <v>154</v>
      </c>
      <c r="S32" s="34" t="s">
        <v>2628</v>
      </c>
      <c r="T32" s="176" t="s">
        <v>923</v>
      </c>
      <c r="U32" s="4" t="s">
        <v>2499</v>
      </c>
    </row>
    <row r="33" spans="1:21" s="36" customFormat="1" ht="60" hidden="1" customHeight="1" outlineLevel="1" x14ac:dyDescent="0.25">
      <c r="A33" s="42" t="s">
        <v>848</v>
      </c>
      <c r="B33" s="42" t="s">
        <v>157</v>
      </c>
      <c r="C33" s="42" t="s">
        <v>514</v>
      </c>
      <c r="D33" s="42" t="s">
        <v>2639</v>
      </c>
      <c r="E33" s="12" t="s">
        <v>164</v>
      </c>
      <c r="F33" s="12" t="s">
        <v>214</v>
      </c>
      <c r="G33" s="12" t="s">
        <v>681</v>
      </c>
      <c r="H33" s="14">
        <v>121.05</v>
      </c>
      <c r="I33" s="15" t="s">
        <v>1522</v>
      </c>
      <c r="J33" s="17">
        <f>IF(H33&gt;0,(H33*VLOOKUP(Lookups!$K$11,Lookups!$M$10:$P$43,4,0)/VLOOKUP(I33,Lookups!$M$10:$P$43,4,0)),"")</f>
        <v>121.05</v>
      </c>
      <c r="K33" s="14"/>
      <c r="L33" s="15"/>
      <c r="M33" s="17" t="str">
        <f>IF(K33&gt;0,(K33*VLOOKUP(Lookups!$K$11,Lookups!$M$10:$P$43,4,0)/VLOOKUP(L33,Lookups!$M$10:$P$43,4,0)),"")</f>
        <v/>
      </c>
      <c r="N33" s="14"/>
      <c r="O33" s="15"/>
      <c r="P33" s="17" t="str">
        <f>IF(N33&gt;0,(N33*VLOOKUP(Lookups!$K$11,Lookups!$M$10:$P$43,4,0)/VLOOKUP(O33,Lookups!$M$10:$P$43,4,0)),"")</f>
        <v/>
      </c>
      <c r="Q33" s="82" t="s">
        <v>2627</v>
      </c>
      <c r="R33" s="15" t="s">
        <v>154</v>
      </c>
      <c r="S33" s="34" t="s">
        <v>2630</v>
      </c>
      <c r="T33" s="176" t="s">
        <v>923</v>
      </c>
      <c r="U33" s="4" t="s">
        <v>2499</v>
      </c>
    </row>
    <row r="34" spans="1:21" s="36" customFormat="1" ht="60" hidden="1" customHeight="1" outlineLevel="1" x14ac:dyDescent="0.25">
      <c r="A34" s="42" t="s">
        <v>848</v>
      </c>
      <c r="B34" s="42" t="s">
        <v>157</v>
      </c>
      <c r="C34" s="42" t="s">
        <v>1163</v>
      </c>
      <c r="D34" s="42" t="s">
        <v>2640</v>
      </c>
      <c r="E34" s="12" t="s">
        <v>164</v>
      </c>
      <c r="F34" s="12" t="s">
        <v>214</v>
      </c>
      <c r="G34" s="12" t="s">
        <v>681</v>
      </c>
      <c r="H34" s="14">
        <v>121.05</v>
      </c>
      <c r="I34" s="15" t="s">
        <v>1522</v>
      </c>
      <c r="J34" s="17">
        <f>IF(H34&gt;0,(H34*VLOOKUP(Lookups!$K$11,Lookups!$M$10:$P$43,4,0)/VLOOKUP(I34,Lookups!$M$10:$P$43,4,0)),"")</f>
        <v>121.05</v>
      </c>
      <c r="K34" s="14"/>
      <c r="L34" s="15"/>
      <c r="M34" s="17" t="str">
        <f>IF(K34&gt;0,(K34*VLOOKUP(Lookups!$K$11,Lookups!$M$10:$P$43,4,0)/VLOOKUP(L34,Lookups!$M$10:$P$43,4,0)),"")</f>
        <v/>
      </c>
      <c r="N34" s="14"/>
      <c r="O34" s="15"/>
      <c r="P34" s="17" t="str">
        <f>IF(N34&gt;0,(N34*VLOOKUP(Lookups!$K$11,Lookups!$M$10:$P$43,4,0)/VLOOKUP(O34,Lookups!$M$10:$P$43,4,0)),"")</f>
        <v/>
      </c>
      <c r="Q34" s="82" t="s">
        <v>2627</v>
      </c>
      <c r="R34" s="15" t="s">
        <v>154</v>
      </c>
      <c r="S34" s="34" t="s">
        <v>2628</v>
      </c>
      <c r="T34" s="176" t="s">
        <v>923</v>
      </c>
      <c r="U34" s="4" t="s">
        <v>2499</v>
      </c>
    </row>
    <row r="35" spans="1:21" s="36" customFormat="1" ht="60" hidden="1" customHeight="1" outlineLevel="1" x14ac:dyDescent="0.25">
      <c r="A35" s="42" t="s">
        <v>848</v>
      </c>
      <c r="B35" s="42" t="s">
        <v>157</v>
      </c>
      <c r="C35" s="42" t="s">
        <v>1164</v>
      </c>
      <c r="D35" s="50" t="s">
        <v>710</v>
      </c>
      <c r="E35" s="12" t="s">
        <v>174</v>
      </c>
      <c r="F35" s="12" t="s">
        <v>214</v>
      </c>
      <c r="G35" s="12" t="s">
        <v>681</v>
      </c>
      <c r="H35" s="14">
        <v>178</v>
      </c>
      <c r="I35" s="15" t="s">
        <v>255</v>
      </c>
      <c r="J35" s="17">
        <f>IF(H35&gt;0,(H35*VLOOKUP(Lookups!$K$11,Lookups!$M$10:$P$43,4,0)/VLOOKUP(I35,Lookups!$M$10:$P$43,4,0)),"")</f>
        <v>214.27700230886896</v>
      </c>
      <c r="K35" s="14"/>
      <c r="L35" s="15"/>
      <c r="M35" s="17" t="str">
        <f>IF(K35&gt;0,(K35*VLOOKUP(Lookups!$K$11,Lookups!$M$10:$P$43,4,0)/VLOOKUP(L35,Lookups!$M$10:$P$43,4,0)),"")</f>
        <v/>
      </c>
      <c r="N35" s="14"/>
      <c r="O35" s="15"/>
      <c r="P35" s="17" t="str">
        <f>IF(N35&gt;0,(N35*VLOOKUP(Lookups!$K$11,Lookups!$M$10:$P$43,4,0)/VLOOKUP(O35,Lookups!$M$10:$P$43,4,0)),"")</f>
        <v/>
      </c>
      <c r="Q35" s="82" t="s">
        <v>3197</v>
      </c>
      <c r="R35" s="15" t="s">
        <v>152</v>
      </c>
      <c r="S35" s="43" t="s">
        <v>1244</v>
      </c>
      <c r="T35" s="134"/>
      <c r="U35" s="12"/>
    </row>
    <row r="36" spans="1:21" s="222" customFormat="1" ht="60" customHeight="1" collapsed="1" x14ac:dyDescent="0.25">
      <c r="A36" s="48" t="s">
        <v>848</v>
      </c>
      <c r="B36" s="48" t="s">
        <v>157</v>
      </c>
      <c r="C36" s="48" t="s">
        <v>467</v>
      </c>
      <c r="D36" s="48" t="s">
        <v>1551</v>
      </c>
      <c r="E36" s="49" t="s">
        <v>164</v>
      </c>
      <c r="F36" s="49" t="s">
        <v>214</v>
      </c>
      <c r="G36" s="49" t="s">
        <v>681</v>
      </c>
      <c r="H36" s="52">
        <v>92.4</v>
      </c>
      <c r="I36" s="181" t="s">
        <v>1522</v>
      </c>
      <c r="J36" s="221">
        <f>IF(H36&gt;0,(H36*VLOOKUP(Lookups!$K$11,Lookups!$M$10:$P$43,4,0)/VLOOKUP(I36,Lookups!$M$10:$P$43,4,0)),"")</f>
        <v>92.4</v>
      </c>
      <c r="K36" s="52"/>
      <c r="L36" s="181"/>
      <c r="M36" s="221" t="str">
        <f>IF(K36&gt;0,(K36*VLOOKUP(Lookups!$K$11,Lookups!$M$10:$P$43,4,0)/VLOOKUP(L36,Lookups!$M$10:$P$43,4,0)),"")</f>
        <v/>
      </c>
      <c r="N36" s="52"/>
      <c r="O36" s="181"/>
      <c r="P36" s="221" t="str">
        <f>IF(N36&gt;0,(N36*VLOOKUP(Lookups!$K$11,Lookups!$M$10:$P$43,4,0)/VLOOKUP(O36,Lookups!$M$10:$P$43,4,0)),"")</f>
        <v/>
      </c>
      <c r="Q36" s="82" t="s">
        <v>2521</v>
      </c>
      <c r="R36" s="181" t="s">
        <v>154</v>
      </c>
      <c r="S36" s="49" t="s">
        <v>2619</v>
      </c>
      <c r="T36" s="176" t="s">
        <v>923</v>
      </c>
      <c r="U36" s="4" t="s">
        <v>2499</v>
      </c>
    </row>
    <row r="37" spans="1:21" s="53" customFormat="1" ht="60" hidden="1" customHeight="1" outlineLevel="1" x14ac:dyDescent="0.25">
      <c r="A37" s="50" t="s">
        <v>848</v>
      </c>
      <c r="B37" s="50" t="s">
        <v>157</v>
      </c>
      <c r="C37" s="50" t="s">
        <v>468</v>
      </c>
      <c r="D37" s="50" t="s">
        <v>2620</v>
      </c>
      <c r="E37" s="4" t="s">
        <v>164</v>
      </c>
      <c r="F37" s="4" t="s">
        <v>214</v>
      </c>
      <c r="G37" s="4" t="s">
        <v>681</v>
      </c>
      <c r="H37" s="11">
        <v>61.85</v>
      </c>
      <c r="I37" s="181" t="s">
        <v>1522</v>
      </c>
      <c r="J37" s="221">
        <f>IF(H37&gt;0,(H37*VLOOKUP(Lookups!$K$11,Lookups!$M$10:$P$43,4,0)/VLOOKUP(I37,Lookups!$M$10:$P$43,4,0)),"")</f>
        <v>61.85</v>
      </c>
      <c r="K37" s="11"/>
      <c r="L37" s="181"/>
      <c r="M37" s="221" t="str">
        <f>IF(K37&gt;0,(K37*VLOOKUP(Lookups!$K$11,Lookups!$M$10:$P$43,4,0)/VLOOKUP(L37,Lookups!$M$10:$P$43,4,0)),"")</f>
        <v/>
      </c>
      <c r="N37" s="11"/>
      <c r="O37" s="181"/>
      <c r="P37" s="221" t="str">
        <f>IF(N37&gt;0,(N37*VLOOKUP(Lookups!$K$11,Lookups!$M$10:$P$43,4,0)/VLOOKUP(O37,Lookups!$M$10:$P$43,4,0)),"")</f>
        <v/>
      </c>
      <c r="Q37" s="82" t="s">
        <v>2521</v>
      </c>
      <c r="R37" s="181" t="s">
        <v>154</v>
      </c>
      <c r="S37" s="49" t="s">
        <v>2619</v>
      </c>
      <c r="T37" s="176" t="s">
        <v>923</v>
      </c>
      <c r="U37" s="4" t="s">
        <v>2499</v>
      </c>
    </row>
    <row r="38" spans="1:21" s="53" customFormat="1" ht="60" hidden="1" customHeight="1" outlineLevel="1" x14ac:dyDescent="0.25">
      <c r="A38" s="50" t="s">
        <v>848</v>
      </c>
      <c r="B38" s="50" t="s">
        <v>157</v>
      </c>
      <c r="C38" s="50" t="s">
        <v>469</v>
      </c>
      <c r="D38" s="50" t="s">
        <v>1552</v>
      </c>
      <c r="E38" s="4" t="s">
        <v>164</v>
      </c>
      <c r="F38" s="4" t="s">
        <v>214</v>
      </c>
      <c r="G38" s="4" t="s">
        <v>681</v>
      </c>
      <c r="H38" s="11">
        <v>64.5</v>
      </c>
      <c r="I38" s="181" t="s">
        <v>1522</v>
      </c>
      <c r="J38" s="221">
        <f>IF(H38&gt;0,(H38*VLOOKUP(Lookups!$K$11,Lookups!$M$10:$P$43,4,0)/VLOOKUP(I38,Lookups!$M$10:$P$43,4,0)),"")</f>
        <v>64.5</v>
      </c>
      <c r="K38" s="11"/>
      <c r="L38" s="181"/>
      <c r="M38" s="221" t="str">
        <f>IF(K38&gt;0,(K38*VLOOKUP(Lookups!$K$11,Lookups!$M$10:$P$43,4,0)/VLOOKUP(L38,Lookups!$M$10:$P$43,4,0)),"")</f>
        <v/>
      </c>
      <c r="N38" s="11"/>
      <c r="O38" s="181"/>
      <c r="P38" s="221" t="str">
        <f>IF(N38&gt;0,(N38*VLOOKUP(Lookups!$K$11,Lookups!$M$10:$P$43,4,0)/VLOOKUP(O38,Lookups!$M$10:$P$43,4,0)),"")</f>
        <v/>
      </c>
      <c r="Q38" s="82" t="s">
        <v>2521</v>
      </c>
      <c r="R38" s="181" t="s">
        <v>154</v>
      </c>
      <c r="S38" s="49" t="s">
        <v>2619</v>
      </c>
      <c r="T38" s="176" t="s">
        <v>923</v>
      </c>
      <c r="U38" s="4" t="s">
        <v>2499</v>
      </c>
    </row>
    <row r="39" spans="1:21" s="53" customFormat="1" ht="60" hidden="1" customHeight="1" outlineLevel="1" x14ac:dyDescent="0.25">
      <c r="A39" s="50" t="s">
        <v>848</v>
      </c>
      <c r="B39" s="50" t="s">
        <v>157</v>
      </c>
      <c r="C39" s="50" t="s">
        <v>1558</v>
      </c>
      <c r="D39" s="50" t="s">
        <v>1553</v>
      </c>
      <c r="E39" s="4" t="s">
        <v>164</v>
      </c>
      <c r="F39" s="4" t="s">
        <v>214</v>
      </c>
      <c r="G39" s="4" t="s">
        <v>681</v>
      </c>
      <c r="H39" s="11">
        <v>24.45</v>
      </c>
      <c r="I39" s="181" t="s">
        <v>1522</v>
      </c>
      <c r="J39" s="221">
        <f>IF(H39&gt;0,(H39*VLOOKUP(Lookups!$K$11,Lookups!$M$10:$P$43,4,0)/VLOOKUP(I39,Lookups!$M$10:$P$43,4,0)),"")</f>
        <v>24.45</v>
      </c>
      <c r="K39" s="11"/>
      <c r="L39" s="181"/>
      <c r="M39" s="221" t="str">
        <f>IF(K39&gt;0,(K39*VLOOKUP(Lookups!$K$11,Lookups!$M$10:$P$43,4,0)/VLOOKUP(L39,Lookups!$M$10:$P$43,4,0)),"")</f>
        <v/>
      </c>
      <c r="N39" s="11"/>
      <c r="O39" s="181"/>
      <c r="P39" s="221" t="str">
        <f>IF(N39&gt;0,(N39*VLOOKUP(Lookups!$K$11,Lookups!$M$10:$P$43,4,0)/VLOOKUP(O39,Lookups!$M$10:$P$43,4,0)),"")</f>
        <v/>
      </c>
      <c r="Q39" s="82" t="s">
        <v>2521</v>
      </c>
      <c r="R39" s="181" t="s">
        <v>154</v>
      </c>
      <c r="S39" s="49" t="s">
        <v>2619</v>
      </c>
      <c r="T39" s="176" t="s">
        <v>923</v>
      </c>
      <c r="U39" s="4" t="s">
        <v>2499</v>
      </c>
    </row>
    <row r="40" spans="1:21" s="222" customFormat="1" ht="60" customHeight="1" collapsed="1" x14ac:dyDescent="0.25">
      <c r="A40" s="48" t="s">
        <v>848</v>
      </c>
      <c r="B40" s="48" t="s">
        <v>157</v>
      </c>
      <c r="C40" s="48" t="s">
        <v>515</v>
      </c>
      <c r="D40" s="48" t="s">
        <v>1141</v>
      </c>
      <c r="E40" s="49" t="s">
        <v>164</v>
      </c>
      <c r="F40" s="49" t="s">
        <v>214</v>
      </c>
      <c r="G40" s="49" t="s">
        <v>681</v>
      </c>
      <c r="H40" s="52">
        <v>92.4</v>
      </c>
      <c r="I40" s="181" t="s">
        <v>1522</v>
      </c>
      <c r="J40" s="221">
        <f>IF(H40&gt;0,(H40*VLOOKUP(Lookups!$K$11,Lookups!$M$10:$P$43,4,0)/VLOOKUP(I40,Lookups!$M$10:$P$43,4,0)),"")</f>
        <v>92.4</v>
      </c>
      <c r="K40" s="52"/>
      <c r="L40" s="181"/>
      <c r="M40" s="221" t="str">
        <f>IF(K40&gt;0,(K40*VLOOKUP(Lookups!$K$11,Lookups!$M$10:$P$43,4,0)/VLOOKUP(L40,Lookups!$M$10:$P$43,4,0)),"")</f>
        <v/>
      </c>
      <c r="N40" s="52"/>
      <c r="O40" s="181"/>
      <c r="P40" s="221" t="str">
        <f>IF(N40&gt;0,(N40*VLOOKUP(Lookups!$K$11,Lookups!$M$10:$P$43,4,0)/VLOOKUP(O40,Lookups!$M$10:$P$43,4,0)),"")</f>
        <v/>
      </c>
      <c r="Q40" s="82" t="s">
        <v>2522</v>
      </c>
      <c r="R40" s="181" t="s">
        <v>154</v>
      </c>
      <c r="S40" s="49" t="s">
        <v>2621</v>
      </c>
      <c r="T40" s="176" t="s">
        <v>923</v>
      </c>
      <c r="U40" s="4" t="s">
        <v>2499</v>
      </c>
    </row>
    <row r="41" spans="1:21" s="53" customFormat="1" ht="60" hidden="1" customHeight="1" outlineLevel="1" x14ac:dyDescent="0.25">
      <c r="A41" s="50" t="s">
        <v>848</v>
      </c>
      <c r="B41" s="50" t="s">
        <v>157</v>
      </c>
      <c r="C41" s="50" t="s">
        <v>516</v>
      </c>
      <c r="D41" s="50" t="s">
        <v>1142</v>
      </c>
      <c r="E41" s="4" t="s">
        <v>164</v>
      </c>
      <c r="F41" s="4" t="s">
        <v>214</v>
      </c>
      <c r="G41" s="4" t="s">
        <v>681</v>
      </c>
      <c r="H41" s="11">
        <v>61.85</v>
      </c>
      <c r="I41" s="181" t="s">
        <v>1522</v>
      </c>
      <c r="J41" s="221">
        <f>IF(H41&gt;0,(H41*VLOOKUP(Lookups!$K$11,Lookups!$M$10:$P$43,4,0)/VLOOKUP(I41,Lookups!$M$10:$P$43,4,0)),"")</f>
        <v>61.85</v>
      </c>
      <c r="K41" s="11"/>
      <c r="L41" s="181"/>
      <c r="M41" s="221" t="str">
        <f>IF(K41&gt;0,(K41*VLOOKUP(Lookups!$K$11,Lookups!$M$10:$P$43,4,0)/VLOOKUP(L41,Lookups!$M$10:$P$43,4,0)),"")</f>
        <v/>
      </c>
      <c r="N41" s="11"/>
      <c r="O41" s="181"/>
      <c r="P41" s="221" t="str">
        <f>IF(N41&gt;0,(N41*VLOOKUP(Lookups!$K$11,Lookups!$M$10:$P$43,4,0)/VLOOKUP(O41,Lookups!$M$10:$P$43,4,0)),"")</f>
        <v/>
      </c>
      <c r="Q41" s="82" t="s">
        <v>2522</v>
      </c>
      <c r="R41" s="181" t="s">
        <v>154</v>
      </c>
      <c r="S41" s="49" t="s">
        <v>2622</v>
      </c>
      <c r="T41" s="176" t="s">
        <v>923</v>
      </c>
      <c r="U41" s="4" t="s">
        <v>2499</v>
      </c>
    </row>
    <row r="42" spans="1:21" s="53" customFormat="1" ht="60" hidden="1" customHeight="1" outlineLevel="1" x14ac:dyDescent="0.25">
      <c r="A42" s="50" t="s">
        <v>848</v>
      </c>
      <c r="B42" s="50" t="s">
        <v>157</v>
      </c>
      <c r="C42" s="50" t="s">
        <v>517</v>
      </c>
      <c r="D42" s="50" t="s">
        <v>1143</v>
      </c>
      <c r="E42" s="4" t="s">
        <v>164</v>
      </c>
      <c r="F42" s="4" t="s">
        <v>214</v>
      </c>
      <c r="G42" s="4" t="s">
        <v>681</v>
      </c>
      <c r="H42" s="11">
        <v>24.45</v>
      </c>
      <c r="I42" s="181" t="s">
        <v>1522</v>
      </c>
      <c r="J42" s="221">
        <f>IF(H42&gt;0,(H42*VLOOKUP(Lookups!$K$11,Lookups!$M$10:$P$43,4,0)/VLOOKUP(I42,Lookups!$M$10:$P$43,4,0)),"")</f>
        <v>24.45</v>
      </c>
      <c r="K42" s="11"/>
      <c r="L42" s="181"/>
      <c r="M42" s="221" t="str">
        <f>IF(K42&gt;0,(K42*VLOOKUP(Lookups!$K$11,Lookups!$M$10:$P$43,4,0)/VLOOKUP(L42,Lookups!$M$10:$P$43,4,0)),"")</f>
        <v/>
      </c>
      <c r="N42" s="11"/>
      <c r="O42" s="181"/>
      <c r="P42" s="221" t="str">
        <f>IF(N42&gt;0,(N42*VLOOKUP(Lookups!$K$11,Lookups!$M$10:$P$43,4,0)/VLOOKUP(O42,Lookups!$M$10:$P$43,4,0)),"")</f>
        <v/>
      </c>
      <c r="Q42" s="82" t="s">
        <v>2522</v>
      </c>
      <c r="R42" s="181" t="s">
        <v>154</v>
      </c>
      <c r="S42" s="49" t="s">
        <v>2623</v>
      </c>
      <c r="T42" s="176" t="s">
        <v>923</v>
      </c>
      <c r="U42" s="4" t="s">
        <v>2499</v>
      </c>
    </row>
    <row r="43" spans="1:21" s="53" customFormat="1" ht="60" hidden="1" customHeight="1" outlineLevel="1" x14ac:dyDescent="0.25">
      <c r="A43" s="50" t="s">
        <v>848</v>
      </c>
      <c r="B43" s="50" t="s">
        <v>157</v>
      </c>
      <c r="C43" s="50" t="s">
        <v>717</v>
      </c>
      <c r="D43" s="50" t="s">
        <v>1144</v>
      </c>
      <c r="E43" s="4" t="s">
        <v>164</v>
      </c>
      <c r="F43" s="4" t="s">
        <v>214</v>
      </c>
      <c r="G43" s="4" t="s">
        <v>681</v>
      </c>
      <c r="H43" s="11">
        <v>64.5</v>
      </c>
      <c r="I43" s="181" t="s">
        <v>1522</v>
      </c>
      <c r="J43" s="221">
        <f>IF(H43&gt;0,(H43*VLOOKUP(Lookups!$K$11,Lookups!$M$10:$P$43,4,0)/VLOOKUP(I43,Lookups!$M$10:$P$43,4,0)),"")</f>
        <v>64.5</v>
      </c>
      <c r="K43" s="11"/>
      <c r="L43" s="181"/>
      <c r="M43" s="221" t="str">
        <f>IF(K43&gt;0,(K43*VLOOKUP(Lookups!$K$11,Lookups!$M$10:$P$43,4,0)/VLOOKUP(L43,Lookups!$M$10:$P$43,4,0)),"")</f>
        <v/>
      </c>
      <c r="N43" s="11"/>
      <c r="O43" s="181"/>
      <c r="P43" s="221" t="str">
        <f>IF(N43&gt;0,(N43*VLOOKUP(Lookups!$K$11,Lookups!$M$10:$P$43,4,0)/VLOOKUP(O43,Lookups!$M$10:$P$43,4,0)),"")</f>
        <v/>
      </c>
      <c r="Q43" s="82" t="s">
        <v>2522</v>
      </c>
      <c r="R43" s="181" t="s">
        <v>154</v>
      </c>
      <c r="S43" s="49" t="s">
        <v>2624</v>
      </c>
      <c r="T43" s="176" t="s">
        <v>923</v>
      </c>
      <c r="U43" s="4" t="s">
        <v>2499</v>
      </c>
    </row>
    <row r="44" spans="1:21" s="53" customFormat="1" ht="60" hidden="1" customHeight="1" outlineLevel="1" x14ac:dyDescent="0.25">
      <c r="A44" s="50" t="s">
        <v>848</v>
      </c>
      <c r="B44" s="50" t="s">
        <v>157</v>
      </c>
      <c r="C44" s="50" t="s">
        <v>1559</v>
      </c>
      <c r="D44" s="50" t="s">
        <v>1145</v>
      </c>
      <c r="E44" s="4" t="s">
        <v>164</v>
      </c>
      <c r="F44" s="4" t="s">
        <v>214</v>
      </c>
      <c r="G44" s="4" t="s">
        <v>681</v>
      </c>
      <c r="H44" s="11">
        <v>24.45</v>
      </c>
      <c r="I44" s="181" t="s">
        <v>1522</v>
      </c>
      <c r="J44" s="221">
        <f>IF(H44&gt;0,(H44*VLOOKUP(Lookups!$K$11,Lookups!$M$10:$P$43,4,0)/VLOOKUP(I44,Lookups!$M$10:$P$43,4,0)),"")</f>
        <v>24.45</v>
      </c>
      <c r="K44" s="11"/>
      <c r="L44" s="181"/>
      <c r="M44" s="221" t="str">
        <f>IF(K44&gt;0,(K44*VLOOKUP(Lookups!$K$11,Lookups!$M$10:$P$43,4,0)/VLOOKUP(L44,Lookups!$M$10:$P$43,4,0)),"")</f>
        <v/>
      </c>
      <c r="N44" s="11"/>
      <c r="O44" s="181"/>
      <c r="P44" s="221" t="str">
        <f>IF(N44&gt;0,(N44*VLOOKUP(Lookups!$K$11,Lookups!$M$10:$P$43,4,0)/VLOOKUP(O44,Lookups!$M$10:$P$43,4,0)),"")</f>
        <v/>
      </c>
      <c r="Q44" s="82" t="s">
        <v>2522</v>
      </c>
      <c r="R44" s="181" t="s">
        <v>154</v>
      </c>
      <c r="S44" s="49" t="s">
        <v>2625</v>
      </c>
      <c r="T44" s="176" t="s">
        <v>923</v>
      </c>
      <c r="U44" s="4" t="s">
        <v>2499</v>
      </c>
    </row>
    <row r="45" spans="1:21" s="78" customFormat="1" ht="60" customHeight="1" collapsed="1" x14ac:dyDescent="0.25">
      <c r="A45" s="40" t="s">
        <v>848</v>
      </c>
      <c r="B45" s="40" t="s">
        <v>157</v>
      </c>
      <c r="C45" s="40" t="s">
        <v>470</v>
      </c>
      <c r="D45" s="40" t="s">
        <v>1133</v>
      </c>
      <c r="E45" s="34" t="s">
        <v>164</v>
      </c>
      <c r="F45" s="34" t="s">
        <v>214</v>
      </c>
      <c r="G45" s="34" t="s">
        <v>681</v>
      </c>
      <c r="H45" s="77">
        <v>92.4</v>
      </c>
      <c r="I45" s="15" t="s">
        <v>1522</v>
      </c>
      <c r="J45" s="17">
        <f>IF(H45&gt;0,(H45*VLOOKUP(Lookups!$K$11,Lookups!$M$10:$P$43,4,0)/VLOOKUP(I45,Lookups!$M$10:$P$43,4,0)),"")</f>
        <v>92.4</v>
      </c>
      <c r="K45" s="77"/>
      <c r="L45" s="15"/>
      <c r="M45" s="17" t="str">
        <f>IF(K45&gt;0,(K45*VLOOKUP(Lookups!$K$11,Lookups!$M$10:$P$43,4,0)/VLOOKUP(L45,Lookups!$M$10:$P$43,4,0)),"")</f>
        <v/>
      </c>
      <c r="N45" s="77"/>
      <c r="O45" s="15"/>
      <c r="P45" s="17" t="str">
        <f>IF(N45&gt;0,(N45*VLOOKUP(Lookups!$K$11,Lookups!$M$10:$P$43,4,0)/VLOOKUP(O45,Lookups!$M$10:$P$43,4,0)),"")</f>
        <v/>
      </c>
      <c r="Q45" s="82" t="s">
        <v>2626</v>
      </c>
      <c r="R45" s="15" t="s">
        <v>154</v>
      </c>
      <c r="S45" s="34" t="s">
        <v>1146</v>
      </c>
      <c r="T45" s="176" t="s">
        <v>923</v>
      </c>
      <c r="U45" s="4" t="s">
        <v>2499</v>
      </c>
    </row>
    <row r="46" spans="1:21" s="36" customFormat="1" ht="60" hidden="1" customHeight="1" outlineLevel="1" x14ac:dyDescent="0.25">
      <c r="A46" s="42" t="s">
        <v>848</v>
      </c>
      <c r="B46" s="42" t="s">
        <v>157</v>
      </c>
      <c r="C46" s="42" t="s">
        <v>471</v>
      </c>
      <c r="D46" s="42" t="s">
        <v>1134</v>
      </c>
      <c r="E46" s="12" t="s">
        <v>164</v>
      </c>
      <c r="F46" s="12" t="s">
        <v>214</v>
      </c>
      <c r="G46" s="12" t="s">
        <v>681</v>
      </c>
      <c r="H46" s="14">
        <v>61.85</v>
      </c>
      <c r="I46" s="15" t="s">
        <v>1522</v>
      </c>
      <c r="J46" s="17">
        <f>IF(H46&gt;0,(H46*VLOOKUP(Lookups!$K$11,Lookups!$M$10:$P$43,4,0)/VLOOKUP(I46,Lookups!$M$10:$P$43,4,0)),"")</f>
        <v>61.85</v>
      </c>
      <c r="K46" s="14"/>
      <c r="L46" s="15"/>
      <c r="M46" s="17" t="str">
        <f>IF(K46&gt;0,(K46*VLOOKUP(Lookups!$K$11,Lookups!$M$10:$P$43,4,0)/VLOOKUP(L46,Lookups!$M$10:$P$43,4,0)),"")</f>
        <v/>
      </c>
      <c r="N46" s="14"/>
      <c r="O46" s="15"/>
      <c r="P46" s="17" t="str">
        <f>IF(N46&gt;0,(N46*VLOOKUP(Lookups!$K$11,Lookups!$M$10:$P$43,4,0)/VLOOKUP(O46,Lookups!$M$10:$P$43,4,0)),"")</f>
        <v/>
      </c>
      <c r="Q46" s="82" t="s">
        <v>2626</v>
      </c>
      <c r="R46" s="15" t="s">
        <v>154</v>
      </c>
      <c r="S46" s="34" t="s">
        <v>1147</v>
      </c>
      <c r="T46" s="176" t="s">
        <v>923</v>
      </c>
      <c r="U46" s="4" t="s">
        <v>2499</v>
      </c>
    </row>
    <row r="47" spans="1:21" s="36" customFormat="1" ht="60" hidden="1" customHeight="1" outlineLevel="1" x14ac:dyDescent="0.25">
      <c r="A47" s="42" t="s">
        <v>848</v>
      </c>
      <c r="B47" s="42" t="s">
        <v>157</v>
      </c>
      <c r="C47" s="42" t="s">
        <v>472</v>
      </c>
      <c r="D47" s="42" t="s">
        <v>1135</v>
      </c>
      <c r="E47" s="12" t="s">
        <v>164</v>
      </c>
      <c r="F47" s="12" t="s">
        <v>214</v>
      </c>
      <c r="G47" s="12" t="s">
        <v>681</v>
      </c>
      <c r="H47" s="14">
        <v>24.45</v>
      </c>
      <c r="I47" s="15" t="s">
        <v>1522</v>
      </c>
      <c r="J47" s="17">
        <f>IF(H47&gt;0,(H47*VLOOKUP(Lookups!$K$11,Lookups!$M$10:$P$43,4,0)/VLOOKUP(I47,Lookups!$M$10:$P$43,4,0)),"")</f>
        <v>24.45</v>
      </c>
      <c r="K47" s="14"/>
      <c r="L47" s="15"/>
      <c r="M47" s="17" t="str">
        <f>IF(K47&gt;0,(K47*VLOOKUP(Lookups!$K$11,Lookups!$M$10:$P$43,4,0)/VLOOKUP(L47,Lookups!$M$10:$P$43,4,0)),"")</f>
        <v/>
      </c>
      <c r="N47" s="14"/>
      <c r="O47" s="15"/>
      <c r="P47" s="17" t="str">
        <f>IF(N47&gt;0,(N47*VLOOKUP(Lookups!$K$11,Lookups!$M$10:$P$43,4,0)/VLOOKUP(O47,Lookups!$M$10:$P$43,4,0)),"")</f>
        <v/>
      </c>
      <c r="Q47" s="82" t="s">
        <v>2626</v>
      </c>
      <c r="R47" s="15" t="s">
        <v>154</v>
      </c>
      <c r="S47" s="34" t="s">
        <v>1148</v>
      </c>
      <c r="T47" s="176" t="s">
        <v>923</v>
      </c>
      <c r="U47" s="4" t="s">
        <v>2499</v>
      </c>
    </row>
    <row r="48" spans="1:21" s="36" customFormat="1" ht="60" hidden="1" customHeight="1" outlineLevel="1" x14ac:dyDescent="0.25">
      <c r="A48" s="42" t="s">
        <v>848</v>
      </c>
      <c r="B48" s="42" t="s">
        <v>157</v>
      </c>
      <c r="C48" s="42" t="s">
        <v>1165</v>
      </c>
      <c r="D48" s="42" t="s">
        <v>1136</v>
      </c>
      <c r="E48" s="12" t="s">
        <v>164</v>
      </c>
      <c r="F48" s="12" t="s">
        <v>214</v>
      </c>
      <c r="G48" s="12" t="s">
        <v>681</v>
      </c>
      <c r="H48" s="14">
        <v>64.5</v>
      </c>
      <c r="I48" s="15" t="s">
        <v>1522</v>
      </c>
      <c r="J48" s="17">
        <f>IF(H48&gt;0,(H48*VLOOKUP(Lookups!$K$11,Lookups!$M$10:$P$43,4,0)/VLOOKUP(I48,Lookups!$M$10:$P$43,4,0)),"")</f>
        <v>64.5</v>
      </c>
      <c r="K48" s="14"/>
      <c r="L48" s="15"/>
      <c r="M48" s="17" t="str">
        <f>IF(K48&gt;0,(K48*VLOOKUP(Lookups!$K$11,Lookups!$M$10:$P$43,4,0)/VLOOKUP(L48,Lookups!$M$10:$P$43,4,0)),"")</f>
        <v/>
      </c>
      <c r="N48" s="14"/>
      <c r="O48" s="15"/>
      <c r="P48" s="17" t="str">
        <f>IF(N48&gt;0,(N48*VLOOKUP(Lookups!$K$11,Lookups!$M$10:$P$43,4,0)/VLOOKUP(O48,Lookups!$M$10:$P$43,4,0)),"")</f>
        <v/>
      </c>
      <c r="Q48" s="82" t="s">
        <v>2626</v>
      </c>
      <c r="R48" s="15" t="s">
        <v>154</v>
      </c>
      <c r="S48" s="34" t="s">
        <v>1149</v>
      </c>
      <c r="T48" s="176" t="s">
        <v>923</v>
      </c>
      <c r="U48" s="4" t="s">
        <v>2499</v>
      </c>
    </row>
    <row r="49" spans="1:21" s="36" customFormat="1" ht="60" hidden="1" customHeight="1" outlineLevel="1" x14ac:dyDescent="0.25">
      <c r="A49" s="42" t="s">
        <v>848</v>
      </c>
      <c r="B49" s="42" t="s">
        <v>157</v>
      </c>
      <c r="C49" s="42" t="s">
        <v>1173</v>
      </c>
      <c r="D49" s="42" t="s">
        <v>1137</v>
      </c>
      <c r="E49" s="12" t="s">
        <v>164</v>
      </c>
      <c r="F49" s="12" t="s">
        <v>214</v>
      </c>
      <c r="G49" s="12" t="s">
        <v>681</v>
      </c>
      <c r="H49" s="14">
        <v>24.45</v>
      </c>
      <c r="I49" s="15" t="s">
        <v>1522</v>
      </c>
      <c r="J49" s="17">
        <f>IF(H49&gt;0,(H49*VLOOKUP(Lookups!$K$11,Lookups!$M$10:$P$43,4,0)/VLOOKUP(I49,Lookups!$M$10:$P$43,4,0)),"")</f>
        <v>24.45</v>
      </c>
      <c r="K49" s="14"/>
      <c r="L49" s="15"/>
      <c r="M49" s="17" t="str">
        <f>IF(K49&gt;0,(K49*VLOOKUP(Lookups!$K$11,Lookups!$M$10:$P$43,4,0)/VLOOKUP(L49,Lookups!$M$10:$P$43,4,0)),"")</f>
        <v/>
      </c>
      <c r="N49" s="14"/>
      <c r="O49" s="15"/>
      <c r="P49" s="17" t="str">
        <f>IF(N49&gt;0,(N49*VLOOKUP(Lookups!$K$11,Lookups!$M$10:$P$43,4,0)/VLOOKUP(O49,Lookups!$M$10:$P$43,4,0)),"")</f>
        <v/>
      </c>
      <c r="Q49" s="82" t="s">
        <v>2626</v>
      </c>
      <c r="R49" s="15" t="s">
        <v>154</v>
      </c>
      <c r="S49" s="34" t="s">
        <v>1150</v>
      </c>
      <c r="T49" s="176" t="s">
        <v>923</v>
      </c>
      <c r="U49" s="4" t="s">
        <v>2499</v>
      </c>
    </row>
    <row r="50" spans="1:21" s="36" customFormat="1" ht="60" hidden="1" customHeight="1" outlineLevel="1" x14ac:dyDescent="0.25">
      <c r="A50" s="42" t="s">
        <v>848</v>
      </c>
      <c r="B50" s="42" t="s">
        <v>157</v>
      </c>
      <c r="C50" s="42" t="s">
        <v>1560</v>
      </c>
      <c r="D50" s="50" t="s">
        <v>1138</v>
      </c>
      <c r="E50" s="12" t="s">
        <v>174</v>
      </c>
      <c r="F50" s="12" t="s">
        <v>214</v>
      </c>
      <c r="G50" s="12" t="s">
        <v>681</v>
      </c>
      <c r="H50" s="14">
        <v>20</v>
      </c>
      <c r="I50" s="15" t="s">
        <v>255</v>
      </c>
      <c r="J50" s="17">
        <f>IF(H50&gt;0,(H50*VLOOKUP(Lookups!$K$11,Lookups!$M$10:$P$43,4,0)/VLOOKUP(I50,Lookups!$M$10:$P$43,4,0)),"")</f>
        <v>24.076067675153816</v>
      </c>
      <c r="K50" s="14"/>
      <c r="L50" s="15"/>
      <c r="M50" s="17" t="str">
        <f>IF(K50&gt;0,(K50*VLOOKUP(Lookups!$K$11,Lookups!$M$10:$P$43,4,0)/VLOOKUP(L50,Lookups!$M$10:$P$43,4,0)),"")</f>
        <v/>
      </c>
      <c r="N50" s="14"/>
      <c r="O50" s="15"/>
      <c r="P50" s="17" t="str">
        <f>IF(N50&gt;0,(N50*VLOOKUP(Lookups!$K$11,Lookups!$M$10:$P$43,4,0)/VLOOKUP(O50,Lookups!$M$10:$P$43,4,0)),"")</f>
        <v/>
      </c>
      <c r="Q50" s="82" t="s">
        <v>3197</v>
      </c>
      <c r="R50" s="15" t="s">
        <v>152</v>
      </c>
      <c r="S50" s="43" t="s">
        <v>1245</v>
      </c>
      <c r="T50" s="134"/>
      <c r="U50" s="12"/>
    </row>
    <row r="51" spans="1:21" s="78" customFormat="1" ht="60" hidden="1" customHeight="1" outlineLevel="1" x14ac:dyDescent="0.25">
      <c r="A51" s="42" t="s">
        <v>848</v>
      </c>
      <c r="B51" s="42" t="s">
        <v>157</v>
      </c>
      <c r="C51" s="42" t="s">
        <v>1561</v>
      </c>
      <c r="D51" s="50" t="s">
        <v>747</v>
      </c>
      <c r="E51" s="34" t="s">
        <v>174</v>
      </c>
      <c r="F51" s="34" t="s">
        <v>214</v>
      </c>
      <c r="G51" s="34" t="s">
        <v>681</v>
      </c>
      <c r="H51" s="77">
        <v>144</v>
      </c>
      <c r="I51" s="15" t="s">
        <v>255</v>
      </c>
      <c r="J51" s="17">
        <f>IF(H51&gt;0,(H51*VLOOKUP(Lookups!$K$11,Lookups!$M$10:$P$43,4,0)/VLOOKUP(I51,Lookups!$M$10:$P$43,4,0)),"")</f>
        <v>173.3476872611075</v>
      </c>
      <c r="K51" s="77"/>
      <c r="L51" s="15"/>
      <c r="M51" s="17" t="str">
        <f>IF(K51&gt;0,(K51*VLOOKUP(Lookups!$K$11,Lookups!$M$10:$P$43,4,0)/VLOOKUP(L51,Lookups!$M$10:$P$43,4,0)),"")</f>
        <v/>
      </c>
      <c r="N51" s="77"/>
      <c r="O51" s="15"/>
      <c r="P51" s="17" t="str">
        <f>IF(N51&gt;0,(N51*VLOOKUP(Lookups!$K$11,Lookups!$M$10:$P$43,4,0)/VLOOKUP(O51,Lookups!$M$10:$P$43,4,0)),"")</f>
        <v/>
      </c>
      <c r="Q51" s="82" t="s">
        <v>3197</v>
      </c>
      <c r="R51" s="15" t="s">
        <v>152</v>
      </c>
      <c r="S51" s="83" t="s">
        <v>1246</v>
      </c>
      <c r="T51" s="134"/>
      <c r="U51" s="12"/>
    </row>
    <row r="52" spans="1:21" s="222" customFormat="1" ht="60" customHeight="1" collapsed="1" x14ac:dyDescent="0.25">
      <c r="A52" s="48" t="s">
        <v>848</v>
      </c>
      <c r="B52" s="48" t="s">
        <v>157</v>
      </c>
      <c r="C52" s="48" t="s">
        <v>925</v>
      </c>
      <c r="D52" s="48" t="s">
        <v>740</v>
      </c>
      <c r="E52" s="49" t="s">
        <v>164</v>
      </c>
      <c r="F52" s="49" t="s">
        <v>214</v>
      </c>
      <c r="G52" s="49" t="s">
        <v>681</v>
      </c>
      <c r="H52" s="52">
        <v>92.4</v>
      </c>
      <c r="I52" s="181" t="s">
        <v>1522</v>
      </c>
      <c r="J52" s="221">
        <f>IF(H52&gt;0,(H52*VLOOKUP(Lookups!$K$11,Lookups!$M$10:$P$43,4,0)/VLOOKUP(I52,Lookups!$M$10:$P$43,4,0)),"")</f>
        <v>92.4</v>
      </c>
      <c r="K52" s="52"/>
      <c r="L52" s="181"/>
      <c r="M52" s="221" t="str">
        <f>IF(K52&gt;0,(K52*VLOOKUP(Lookups!$K$11,Lookups!$M$10:$P$43,4,0)/VLOOKUP(L52,Lookups!$M$10:$P$43,4,0)),"")</f>
        <v/>
      </c>
      <c r="N52" s="52"/>
      <c r="O52" s="181"/>
      <c r="P52" s="221" t="str">
        <f>IF(N52&gt;0,(N52*VLOOKUP(Lookups!$K$11,Lookups!$M$10:$P$43,4,0)/VLOOKUP(O52,Lookups!$M$10:$P$43,4,0)),"")</f>
        <v/>
      </c>
      <c r="Q52" s="82" t="s">
        <v>2523</v>
      </c>
      <c r="R52" s="181" t="s">
        <v>154</v>
      </c>
      <c r="S52" s="4" t="s">
        <v>745</v>
      </c>
      <c r="T52" s="176" t="s">
        <v>923</v>
      </c>
      <c r="U52" s="4" t="s">
        <v>2499</v>
      </c>
    </row>
    <row r="53" spans="1:21" s="53" customFormat="1" ht="60" hidden="1" customHeight="1" outlineLevel="1" x14ac:dyDescent="0.25">
      <c r="A53" s="50" t="s">
        <v>848</v>
      </c>
      <c r="B53" s="50" t="s">
        <v>157</v>
      </c>
      <c r="C53" s="50" t="s">
        <v>926</v>
      </c>
      <c r="D53" s="50" t="s">
        <v>741</v>
      </c>
      <c r="E53" s="4" t="s">
        <v>164</v>
      </c>
      <c r="F53" s="4" t="s">
        <v>214</v>
      </c>
      <c r="G53" s="4" t="s">
        <v>681</v>
      </c>
      <c r="H53" s="11">
        <v>61.85</v>
      </c>
      <c r="I53" s="181" t="s">
        <v>1522</v>
      </c>
      <c r="J53" s="221">
        <f>IF(H53&gt;0,(H53*VLOOKUP(Lookups!$K$11,Lookups!$M$10:$P$43,4,0)/VLOOKUP(I53,Lookups!$M$10:$P$43,4,0)),"")</f>
        <v>61.85</v>
      </c>
      <c r="K53" s="11"/>
      <c r="L53" s="181"/>
      <c r="M53" s="221" t="str">
        <f>IF(K53&gt;0,(K53*VLOOKUP(Lookups!$K$11,Lookups!$M$10:$P$43,4,0)/VLOOKUP(L53,Lookups!$M$10:$P$43,4,0)),"")</f>
        <v/>
      </c>
      <c r="N53" s="11"/>
      <c r="O53" s="181"/>
      <c r="P53" s="221" t="str">
        <f>IF(N53&gt;0,(N53*VLOOKUP(Lookups!$K$11,Lookups!$M$10:$P$43,4,0)/VLOOKUP(O53,Lookups!$M$10:$P$43,4,0)),"")</f>
        <v/>
      </c>
      <c r="Q53" s="82" t="s">
        <v>2523</v>
      </c>
      <c r="R53" s="181" t="s">
        <v>154</v>
      </c>
      <c r="S53" s="4" t="s">
        <v>707</v>
      </c>
      <c r="T53" s="176" t="s">
        <v>923</v>
      </c>
      <c r="U53" s="4" t="s">
        <v>2499</v>
      </c>
    </row>
    <row r="54" spans="1:21" s="36" customFormat="1" ht="60" hidden="1" customHeight="1" outlineLevel="1" x14ac:dyDescent="0.25">
      <c r="A54" s="42" t="s">
        <v>848</v>
      </c>
      <c r="B54" s="42" t="s">
        <v>157</v>
      </c>
      <c r="C54" s="42" t="s">
        <v>1166</v>
      </c>
      <c r="D54" s="42" t="s">
        <v>744</v>
      </c>
      <c r="E54" s="12" t="s">
        <v>174</v>
      </c>
      <c r="F54" s="12" t="s">
        <v>214</v>
      </c>
      <c r="G54" s="12" t="s">
        <v>681</v>
      </c>
      <c r="H54" s="14">
        <v>15</v>
      </c>
      <c r="I54" s="15" t="s">
        <v>255</v>
      </c>
      <c r="J54" s="17">
        <f>IF(H54&gt;0,(H54*VLOOKUP(Lookups!$K$11,Lookups!$M$10:$P$43,4,0)/VLOOKUP(I54,Lookups!$M$10:$P$43,4,0)),"")</f>
        <v>18.057050756365363</v>
      </c>
      <c r="K54" s="14"/>
      <c r="L54" s="15"/>
      <c r="M54" s="17" t="str">
        <f>IF(K54&gt;0,(K54*VLOOKUP(Lookups!$K$11,Lookups!$M$10:$P$43,4,0)/VLOOKUP(L54,Lookups!$M$10:$P$43,4,0)),"")</f>
        <v/>
      </c>
      <c r="N54" s="14"/>
      <c r="O54" s="15"/>
      <c r="P54" s="17" t="str">
        <f>IF(N54&gt;0,(N54*VLOOKUP(Lookups!$K$11,Lookups!$M$10:$P$43,4,0)/VLOOKUP(O54,Lookups!$M$10:$P$43,4,0)),"")</f>
        <v/>
      </c>
      <c r="Q54" s="82" t="s">
        <v>3197</v>
      </c>
      <c r="R54" s="15" t="s">
        <v>152</v>
      </c>
      <c r="S54" s="43" t="s">
        <v>1245</v>
      </c>
      <c r="T54" s="134"/>
      <c r="U54" s="12"/>
    </row>
    <row r="55" spans="1:21" s="222" customFormat="1" ht="60" customHeight="1" collapsed="1" x14ac:dyDescent="0.25">
      <c r="A55" s="48" t="s">
        <v>848</v>
      </c>
      <c r="B55" s="48" t="s">
        <v>157</v>
      </c>
      <c r="C55" s="48" t="s">
        <v>706</v>
      </c>
      <c r="D55" s="48" t="s">
        <v>1175</v>
      </c>
      <c r="E55" s="49" t="s">
        <v>164</v>
      </c>
      <c r="F55" s="49" t="s">
        <v>214</v>
      </c>
      <c r="G55" s="49" t="s">
        <v>681</v>
      </c>
      <c r="H55" s="52">
        <v>69.7</v>
      </c>
      <c r="I55" s="181" t="s">
        <v>1522</v>
      </c>
      <c r="J55" s="221">
        <f>IF(H55&gt;0,(H55*VLOOKUP(Lookups!$K$11,Lookups!$M$10:$P$43,4,0)/VLOOKUP(I55,Lookups!$M$10:$P$43,4,0)),"")</f>
        <v>69.7</v>
      </c>
      <c r="K55" s="52"/>
      <c r="L55" s="181"/>
      <c r="M55" s="221" t="str">
        <f>IF(K55&gt;0,(K55*VLOOKUP(Lookups!$K$11,Lookups!$M$10:$P$43,4,0)/VLOOKUP(L55,Lookups!$M$10:$P$43,4,0)),"")</f>
        <v/>
      </c>
      <c r="N55" s="52"/>
      <c r="O55" s="181"/>
      <c r="P55" s="221" t="str">
        <f>IF(N55&gt;0,(N55*VLOOKUP(Lookups!$K$11,Lookups!$M$10:$P$43,4,0)/VLOOKUP(O55,Lookups!$M$10:$P$43,4,0)),"")</f>
        <v/>
      </c>
      <c r="Q55" s="82" t="s">
        <v>2524</v>
      </c>
      <c r="R55" s="181" t="s">
        <v>154</v>
      </c>
      <c r="S55" s="4" t="s">
        <v>1139</v>
      </c>
      <c r="T55" s="176" t="s">
        <v>923</v>
      </c>
      <c r="U55" s="4" t="s">
        <v>2499</v>
      </c>
    </row>
    <row r="56" spans="1:21" s="78" customFormat="1" ht="60" hidden="1" customHeight="1" outlineLevel="1" x14ac:dyDescent="0.25">
      <c r="A56" s="42" t="s">
        <v>848</v>
      </c>
      <c r="B56" s="42" t="s">
        <v>157</v>
      </c>
      <c r="C56" s="42" t="s">
        <v>742</v>
      </c>
      <c r="D56" s="50" t="s">
        <v>1177</v>
      </c>
      <c r="E56" s="34" t="s">
        <v>174</v>
      </c>
      <c r="F56" s="34" t="s">
        <v>214</v>
      </c>
      <c r="G56" s="34" t="s">
        <v>681</v>
      </c>
      <c r="H56" s="77">
        <v>59</v>
      </c>
      <c r="I56" s="15" t="s">
        <v>255</v>
      </c>
      <c r="J56" s="17">
        <f>IF(H56&gt;0,(H56*VLOOKUP(Lookups!$K$11,Lookups!$M$10:$P$43,4,0)/VLOOKUP(I56,Lookups!$M$10:$P$43,4,0)),"")</f>
        <v>71.024399641703752</v>
      </c>
      <c r="K56" s="77"/>
      <c r="L56" s="15"/>
      <c r="M56" s="17" t="str">
        <f>IF(K56&gt;0,(K56*VLOOKUP(Lookups!$K$11,Lookups!$M$10:$P$43,4,0)/VLOOKUP(L56,Lookups!$M$10:$P$43,4,0)),"")</f>
        <v/>
      </c>
      <c r="N56" s="77"/>
      <c r="O56" s="15"/>
      <c r="P56" s="17" t="str">
        <f>IF(N56&gt;0,(N56*VLOOKUP(Lookups!$K$11,Lookups!$M$10:$P$43,4,0)/VLOOKUP(O56,Lookups!$M$10:$P$43,4,0)),"")</f>
        <v/>
      </c>
      <c r="Q56" s="82" t="s">
        <v>3197</v>
      </c>
      <c r="R56" s="15" t="s">
        <v>152</v>
      </c>
      <c r="S56" s="83" t="s">
        <v>1247</v>
      </c>
      <c r="T56" s="134"/>
      <c r="U56" s="12"/>
    </row>
    <row r="57" spans="1:21" s="36" customFormat="1" ht="60" hidden="1" customHeight="1" outlineLevel="1" x14ac:dyDescent="0.25">
      <c r="A57" s="42" t="s">
        <v>848</v>
      </c>
      <c r="B57" s="42" t="s">
        <v>157</v>
      </c>
      <c r="C57" s="42" t="s">
        <v>743</v>
      </c>
      <c r="D57" s="42" t="s">
        <v>1176</v>
      </c>
      <c r="E57" s="12" t="s">
        <v>174</v>
      </c>
      <c r="F57" s="12" t="s">
        <v>214</v>
      </c>
      <c r="G57" s="12" t="s">
        <v>681</v>
      </c>
      <c r="H57" s="14">
        <v>30</v>
      </c>
      <c r="I57" s="15" t="s">
        <v>255</v>
      </c>
      <c r="J57" s="17">
        <f>IF(H57&gt;0,(H57*VLOOKUP(Lookups!$K$11,Lookups!$M$10:$P$43,4,0)/VLOOKUP(I57,Lookups!$M$10:$P$43,4,0)),"")</f>
        <v>36.114101512730727</v>
      </c>
      <c r="K57" s="14"/>
      <c r="L57" s="15"/>
      <c r="M57" s="17" t="str">
        <f>IF(K57&gt;0,(K57*VLOOKUP(Lookups!$K$11,Lookups!$M$10:$P$43,4,0)/VLOOKUP(L57,Lookups!$M$10:$P$43,4,0)),"")</f>
        <v/>
      </c>
      <c r="N57" s="14"/>
      <c r="O57" s="15"/>
      <c r="P57" s="17" t="str">
        <f>IF(N57&gt;0,(N57*VLOOKUP(Lookups!$K$11,Lookups!$M$10:$P$43,4,0)/VLOOKUP(O57,Lookups!$M$10:$P$43,4,0)),"")</f>
        <v/>
      </c>
      <c r="Q57" s="82" t="s">
        <v>3197</v>
      </c>
      <c r="R57" s="15" t="s">
        <v>152</v>
      </c>
      <c r="S57" s="43" t="s">
        <v>1174</v>
      </c>
      <c r="T57" s="134"/>
      <c r="U57" s="12"/>
    </row>
    <row r="58" spans="1:21" s="78" customFormat="1" ht="60" customHeight="1" collapsed="1" x14ac:dyDescent="0.25">
      <c r="A58" s="40" t="s">
        <v>848</v>
      </c>
      <c r="B58" s="40" t="s">
        <v>1172</v>
      </c>
      <c r="C58" s="40" t="s">
        <v>1167</v>
      </c>
      <c r="D58" s="40" t="s">
        <v>1151</v>
      </c>
      <c r="E58" s="34" t="s">
        <v>167</v>
      </c>
      <c r="F58" s="34" t="s">
        <v>214</v>
      </c>
      <c r="G58" s="34" t="s">
        <v>1179</v>
      </c>
      <c r="H58" s="77">
        <v>4257</v>
      </c>
      <c r="I58" s="15" t="s">
        <v>196</v>
      </c>
      <c r="J58" s="17">
        <f>IF(H58&gt;0,(H58*VLOOKUP(Lookups!$K$11,Lookups!$M$10:$P$43,4,0)/VLOOKUP(I58,Lookups!$M$10:$P$43,4,0)),"")</f>
        <v>5428.4498604524606</v>
      </c>
      <c r="K58" s="77">
        <v>8998</v>
      </c>
      <c r="L58" s="15" t="s">
        <v>196</v>
      </c>
      <c r="M58" s="17">
        <f>IF(K58&gt;0,(K58*VLOOKUP(Lookups!$K$11,Lookups!$M$10:$P$43,4,0)/VLOOKUP(L58,Lookups!$M$10:$P$43,4,0)),"")</f>
        <v>11474.087818734142</v>
      </c>
      <c r="N58" s="77"/>
      <c r="O58" s="15"/>
      <c r="P58" s="17" t="str">
        <f>IF(N58&gt;0,(N58*VLOOKUP(Lookups!$K$11,Lookups!$M$10:$P$43,4,0)/VLOOKUP(O58,Lookups!$M$10:$P$43,4,0)),"")</f>
        <v/>
      </c>
      <c r="Q58" s="82" t="s">
        <v>200</v>
      </c>
      <c r="R58" s="15" t="s">
        <v>149</v>
      </c>
      <c r="S58" s="83" t="s">
        <v>1554</v>
      </c>
      <c r="T58" s="134"/>
      <c r="U58" s="12"/>
    </row>
    <row r="59" spans="1:21" s="78" customFormat="1" ht="60" hidden="1" customHeight="1" outlineLevel="2" x14ac:dyDescent="0.25">
      <c r="A59" s="34" t="s">
        <v>848</v>
      </c>
      <c r="B59" s="34" t="s">
        <v>1172</v>
      </c>
      <c r="C59" s="34" t="s">
        <v>1562</v>
      </c>
      <c r="D59" s="223" t="s">
        <v>2631</v>
      </c>
      <c r="E59" s="34" t="s">
        <v>167</v>
      </c>
      <c r="F59" s="34" t="s">
        <v>214</v>
      </c>
      <c r="G59" s="34"/>
      <c r="H59" s="77">
        <v>3218</v>
      </c>
      <c r="I59" s="15" t="s">
        <v>196</v>
      </c>
      <c r="J59" s="17">
        <f>IF(H59&gt;0,(H59*VLOOKUP(Lookups!$K$11,Lookups!$M$10:$P$43,4,0)/VLOOKUP(I59,Lookups!$M$10:$P$43,4,0)),"")</f>
        <v>4103.5357413521306</v>
      </c>
      <c r="K59" s="77"/>
      <c r="L59" s="15"/>
      <c r="M59" s="17" t="str">
        <f>IF(K59&gt;0,(K59*VLOOKUP(Lookups!$K$11,Lookups!$M$10:$P$43,4,0)/VLOOKUP(L59,Lookups!$M$10:$P$43,4,0)),"")</f>
        <v/>
      </c>
      <c r="N59" s="77"/>
      <c r="O59" s="15"/>
      <c r="P59" s="17" t="str">
        <f>IF(N59&gt;0,(N59*VLOOKUP(Lookups!$K$11,Lookups!$M$10:$P$43,4,0)/VLOOKUP(O59,Lookups!$M$10:$P$43,4,0)),"")</f>
        <v/>
      </c>
      <c r="Q59" s="82" t="s">
        <v>200</v>
      </c>
      <c r="R59" s="15" t="s">
        <v>149</v>
      </c>
      <c r="S59" s="34" t="s">
        <v>1178</v>
      </c>
      <c r="T59" s="134"/>
      <c r="U59" s="12"/>
    </row>
    <row r="60" spans="1:21" s="78" customFormat="1" ht="60" hidden="1" customHeight="1" outlineLevel="2" x14ac:dyDescent="0.25">
      <c r="A60" s="34" t="s">
        <v>848</v>
      </c>
      <c r="B60" s="34" t="s">
        <v>1172</v>
      </c>
      <c r="C60" s="34" t="s">
        <v>1563</v>
      </c>
      <c r="D60" s="223" t="s">
        <v>2632</v>
      </c>
      <c r="E60" s="34" t="s">
        <v>167</v>
      </c>
      <c r="F60" s="34" t="s">
        <v>1179</v>
      </c>
      <c r="G60" s="34"/>
      <c r="H60" s="77">
        <v>1039</v>
      </c>
      <c r="I60" s="15" t="s">
        <v>196</v>
      </c>
      <c r="J60" s="17">
        <f>IF(H60&gt;0,(H60*VLOOKUP(Lookups!$K$11,Lookups!$M$10:$P$43,4,0)/VLOOKUP(I60,Lookups!$M$10:$P$43,4,0)),"")</f>
        <v>1324.9141191003305</v>
      </c>
      <c r="K60" s="77"/>
      <c r="L60" s="15"/>
      <c r="M60" s="17" t="str">
        <f>IF(K60&gt;0,(K60*VLOOKUP(Lookups!$K$11,Lookups!$M$10:$P$43,4,0)/VLOOKUP(L60,Lookups!$M$10:$P$43,4,0)),"")</f>
        <v/>
      </c>
      <c r="N60" s="77"/>
      <c r="O60" s="15"/>
      <c r="P60" s="17" t="str">
        <f>IF(N60&gt;0,(N60*VLOOKUP(Lookups!$K$11,Lookups!$M$10:$P$43,4,0)/VLOOKUP(O60,Lookups!$M$10:$P$43,4,0)),"")</f>
        <v/>
      </c>
      <c r="Q60" s="82" t="s">
        <v>200</v>
      </c>
      <c r="R60" s="15" t="s">
        <v>149</v>
      </c>
      <c r="S60" s="34" t="s">
        <v>1180</v>
      </c>
      <c r="T60" s="134"/>
      <c r="U60" s="12"/>
    </row>
    <row r="61" spans="1:21" s="78" customFormat="1" ht="60" hidden="1" customHeight="1" outlineLevel="1" x14ac:dyDescent="0.25">
      <c r="A61" s="42" t="s">
        <v>848</v>
      </c>
      <c r="B61" s="42" t="s">
        <v>1172</v>
      </c>
      <c r="C61" s="42" t="s">
        <v>1168</v>
      </c>
      <c r="D61" s="42" t="s">
        <v>1152</v>
      </c>
      <c r="E61" s="34" t="s">
        <v>167</v>
      </c>
      <c r="F61" s="34" t="s">
        <v>214</v>
      </c>
      <c r="G61" s="34"/>
      <c r="H61" s="77">
        <v>536</v>
      </c>
      <c r="I61" s="15" t="s">
        <v>196</v>
      </c>
      <c r="J61" s="17">
        <f>IF(H61&gt;0,(H61*VLOOKUP(Lookups!$K$11,Lookups!$M$10:$P$43,4,0)/VLOOKUP(I61,Lookups!$M$10:$P$43,4,0)),"")</f>
        <v>683.49756288525225</v>
      </c>
      <c r="K61" s="77">
        <v>4576</v>
      </c>
      <c r="L61" s="15" t="s">
        <v>196</v>
      </c>
      <c r="M61" s="17">
        <f>IF(K61&gt;0,(K61*VLOOKUP(Lookups!$K$11,Lookups!$M$10:$P$43,4,0)/VLOOKUP(L61,Lookups!$M$10:$P$43,4,0)),"")</f>
        <v>5835.2329249308104</v>
      </c>
      <c r="N61" s="77"/>
      <c r="O61" s="15"/>
      <c r="P61" s="17" t="str">
        <f>IF(N61&gt;0,(N61*VLOOKUP(Lookups!$K$11,Lookups!$M$10:$P$43,4,0)/VLOOKUP(O61,Lookups!$M$10:$P$43,4,0)),"")</f>
        <v/>
      </c>
      <c r="Q61" s="82" t="s">
        <v>200</v>
      </c>
      <c r="R61" s="15" t="s">
        <v>149</v>
      </c>
      <c r="S61" s="83" t="s">
        <v>1555</v>
      </c>
      <c r="T61" s="134"/>
      <c r="U61" s="12"/>
    </row>
    <row r="62" spans="1:21" s="78" customFormat="1" ht="60" hidden="1" customHeight="1" outlineLevel="1" x14ac:dyDescent="0.25">
      <c r="A62" s="42" t="s">
        <v>848</v>
      </c>
      <c r="B62" s="42" t="s">
        <v>1172</v>
      </c>
      <c r="C62" s="42" t="s">
        <v>1169</v>
      </c>
      <c r="D62" s="42" t="s">
        <v>1154</v>
      </c>
      <c r="E62" s="34" t="s">
        <v>167</v>
      </c>
      <c r="F62" s="34" t="s">
        <v>1179</v>
      </c>
      <c r="G62" s="34" t="s">
        <v>214</v>
      </c>
      <c r="H62" s="77">
        <v>2912</v>
      </c>
      <c r="I62" s="15" t="s">
        <v>196</v>
      </c>
      <c r="J62" s="17">
        <f>IF(H62&gt;0,(H62*VLOOKUP(Lookups!$K$11,Lookups!$M$10:$P$43,4,0)/VLOOKUP(I62,Lookups!$M$10:$P$43,4,0)),"")</f>
        <v>3713.3300431377884</v>
      </c>
      <c r="K62" s="77">
        <v>6973</v>
      </c>
      <c r="L62" s="15" t="s">
        <v>196</v>
      </c>
      <c r="M62" s="17">
        <f>IF(K62&gt;0,(K62*VLOOKUP(Lookups!$K$11,Lookups!$M$10:$P$43,4,0)/VLOOKUP(L62,Lookups!$M$10:$P$43,4,0)),"")</f>
        <v>8891.8442276098212</v>
      </c>
      <c r="N62" s="77"/>
      <c r="O62" s="15"/>
      <c r="P62" s="17" t="str">
        <f>IF(N62&gt;0,(N62*VLOOKUP(Lookups!$K$11,Lookups!$M$10:$P$43,4,0)/VLOOKUP(O62,Lookups!$M$10:$P$43,4,0)),"")</f>
        <v/>
      </c>
      <c r="Q62" s="82" t="s">
        <v>200</v>
      </c>
      <c r="R62" s="15" t="s">
        <v>149</v>
      </c>
      <c r="S62" s="83" t="s">
        <v>1556</v>
      </c>
      <c r="T62" s="134"/>
      <c r="U62" s="12"/>
    </row>
    <row r="63" spans="1:21" s="78" customFormat="1" ht="60" hidden="1" customHeight="1" outlineLevel="2" x14ac:dyDescent="0.25">
      <c r="A63" s="34" t="s">
        <v>848</v>
      </c>
      <c r="B63" s="34" t="s">
        <v>1172</v>
      </c>
      <c r="C63" s="34" t="s">
        <v>1564</v>
      </c>
      <c r="D63" s="41" t="s">
        <v>1156</v>
      </c>
      <c r="E63" s="34" t="s">
        <v>167</v>
      </c>
      <c r="F63" s="34" t="s">
        <v>1179</v>
      </c>
      <c r="G63" s="34"/>
      <c r="H63" s="77">
        <v>2425.69</v>
      </c>
      <c r="I63" s="15" t="s">
        <v>196</v>
      </c>
      <c r="J63" s="17">
        <f>IF(H63&gt;0,(H63*VLOOKUP(Lookups!$K$11,Lookups!$M$10:$P$43,4,0)/VLOOKUP(I63,Lookups!$M$10:$P$43,4,0)),"")</f>
        <v>3093.1962748416563</v>
      </c>
      <c r="K63" s="77"/>
      <c r="L63" s="15"/>
      <c r="M63" s="17" t="str">
        <f>IF(K63&gt;0,(K63*VLOOKUP(Lookups!$K$11,Lookups!$M$10:$P$43,4,0)/VLOOKUP(L63,Lookups!$M$10:$P$43,4,0)),"")</f>
        <v/>
      </c>
      <c r="N63" s="77"/>
      <c r="O63" s="15"/>
      <c r="P63" s="17" t="str">
        <f>IF(N63&gt;0,(N63*VLOOKUP(Lookups!$K$11,Lookups!$M$10:$P$43,4,0)/VLOOKUP(O63,Lookups!$M$10:$P$43,4,0)),"")</f>
        <v/>
      </c>
      <c r="Q63" s="82" t="s">
        <v>200</v>
      </c>
      <c r="R63" s="15" t="s">
        <v>149</v>
      </c>
      <c r="S63" s="34" t="s">
        <v>1158</v>
      </c>
      <c r="T63" s="134"/>
      <c r="U63" s="12"/>
    </row>
    <row r="64" spans="1:21" s="78" customFormat="1" ht="60" hidden="1" customHeight="1" outlineLevel="2" x14ac:dyDescent="0.25">
      <c r="A64" s="34" t="s">
        <v>848</v>
      </c>
      <c r="B64" s="34" t="s">
        <v>1172</v>
      </c>
      <c r="C64" s="34" t="s">
        <v>1565</v>
      </c>
      <c r="D64" s="41" t="s">
        <v>1155</v>
      </c>
      <c r="E64" s="34" t="s">
        <v>167</v>
      </c>
      <c r="F64" s="34" t="s">
        <v>214</v>
      </c>
      <c r="G64" s="34"/>
      <c r="H64" s="77">
        <v>486.6</v>
      </c>
      <c r="I64" s="15" t="s">
        <v>196</v>
      </c>
      <c r="J64" s="17">
        <f>IF(H64&gt;0,(H64*VLOOKUP(Lookups!$K$11,Lookups!$M$10:$P$43,4,0)/VLOOKUP(I64,Lookups!$M$10:$P$43,4,0)),"")</f>
        <v>620.50357108202195</v>
      </c>
      <c r="K64" s="77"/>
      <c r="L64" s="15"/>
      <c r="M64" s="17" t="str">
        <f>IF(K64&gt;0,(K64*VLOOKUP(Lookups!$K$11,Lookups!$M$10:$P$43,4,0)/VLOOKUP(L64,Lookups!$M$10:$P$43,4,0)),"")</f>
        <v/>
      </c>
      <c r="N64" s="77"/>
      <c r="O64" s="15"/>
      <c r="P64" s="17" t="str">
        <f>IF(N64&gt;0,(N64*VLOOKUP(Lookups!$K$11,Lookups!$M$10:$P$43,4,0)/VLOOKUP(O64,Lookups!$M$10:$P$43,4,0)),"")</f>
        <v/>
      </c>
      <c r="Q64" s="82" t="s">
        <v>200</v>
      </c>
      <c r="R64" s="15" t="s">
        <v>149</v>
      </c>
      <c r="S64" s="34" t="s">
        <v>1157</v>
      </c>
      <c r="T64" s="134"/>
      <c r="U64" s="12"/>
    </row>
    <row r="65" spans="1:30" s="78" customFormat="1" ht="60" hidden="1" customHeight="1" outlineLevel="1" x14ac:dyDescent="0.25">
      <c r="A65" s="42" t="s">
        <v>848</v>
      </c>
      <c r="B65" s="42" t="s">
        <v>1172</v>
      </c>
      <c r="C65" s="42" t="s">
        <v>1566</v>
      </c>
      <c r="D65" s="42" t="s">
        <v>1153</v>
      </c>
      <c r="E65" s="34" t="s">
        <v>167</v>
      </c>
      <c r="F65" s="34" t="s">
        <v>1179</v>
      </c>
      <c r="G65" s="34" t="s">
        <v>214</v>
      </c>
      <c r="H65" s="77">
        <v>2269</v>
      </c>
      <c r="I65" s="15" t="s">
        <v>196</v>
      </c>
      <c r="J65" s="17">
        <f>IF(H65&gt;0,(H65*VLOOKUP(Lookups!$K$11,Lookups!$M$10:$P$43,4,0)/VLOOKUP(I65,Lookups!$M$10:$P$43,4,0)),"")</f>
        <v>2893.3880040795475</v>
      </c>
      <c r="K65" s="77">
        <v>4505</v>
      </c>
      <c r="L65" s="15" t="s">
        <v>196</v>
      </c>
      <c r="M65" s="17">
        <f>IF(K65&gt;0,(K65*VLOOKUP(Lookups!$K$11,Lookups!$M$10:$P$43,4,0)/VLOOKUP(L65,Lookups!$M$10:$P$43,4,0)),"")</f>
        <v>5744.6950014889208</v>
      </c>
      <c r="N65" s="77"/>
      <c r="O65" s="15"/>
      <c r="P65" s="17" t="str">
        <f>IF(N65&gt;0,(N65*VLOOKUP(Lookups!$K$11,Lookups!$M$10:$P$43,4,0)/VLOOKUP(O65,Lookups!$M$10:$P$43,4,0)),"")</f>
        <v/>
      </c>
      <c r="Q65" s="82" t="s">
        <v>200</v>
      </c>
      <c r="R65" s="15" t="s">
        <v>149</v>
      </c>
      <c r="S65" s="83" t="s">
        <v>1557</v>
      </c>
      <c r="T65" s="134"/>
      <c r="U65" s="12"/>
    </row>
    <row r="66" spans="1:30" s="78" customFormat="1" ht="60" hidden="1" customHeight="1" outlineLevel="2" x14ac:dyDescent="0.25">
      <c r="A66" s="34" t="s">
        <v>848</v>
      </c>
      <c r="B66" s="34" t="s">
        <v>1172</v>
      </c>
      <c r="C66" s="34" t="s">
        <v>1567</v>
      </c>
      <c r="D66" s="41" t="s">
        <v>1159</v>
      </c>
      <c r="E66" s="34" t="s">
        <v>167</v>
      </c>
      <c r="F66" s="34" t="s">
        <v>1179</v>
      </c>
      <c r="G66" s="34"/>
      <c r="H66" s="77">
        <v>1529.5</v>
      </c>
      <c r="I66" s="15" t="s">
        <v>196</v>
      </c>
      <c r="J66" s="17">
        <f>IF(H66&gt;0,(H66*VLOOKUP(Lookups!$K$11,Lookups!$M$10:$P$43,4,0)/VLOOKUP(I66,Lookups!$M$10:$P$43,4,0)),"")</f>
        <v>1950.3909000615549</v>
      </c>
      <c r="K66" s="77"/>
      <c r="L66" s="15"/>
      <c r="M66" s="17" t="str">
        <f>IF(K66&gt;0,(K66*VLOOKUP(Lookups!$K$11,Lookups!$M$10:$P$43,4,0)/VLOOKUP(L66,Lookups!$M$10:$P$43,4,0)),"")</f>
        <v/>
      </c>
      <c r="N66" s="77"/>
      <c r="O66" s="15"/>
      <c r="P66" s="17" t="str">
        <f>IF(N66&gt;0,(N66*VLOOKUP(Lookups!$K$11,Lookups!$M$10:$P$43,4,0)/VLOOKUP(O66,Lookups!$M$10:$P$43,4,0)),"")</f>
        <v/>
      </c>
      <c r="Q66" s="82" t="s">
        <v>200</v>
      </c>
      <c r="R66" s="15" t="s">
        <v>149</v>
      </c>
      <c r="S66" s="34" t="s">
        <v>1162</v>
      </c>
      <c r="T66" s="134"/>
      <c r="U66" s="12"/>
    </row>
    <row r="67" spans="1:30" s="78" customFormat="1" ht="60" hidden="1" customHeight="1" outlineLevel="2" x14ac:dyDescent="0.25">
      <c r="A67" s="34" t="s">
        <v>848</v>
      </c>
      <c r="B67" s="34" t="s">
        <v>1172</v>
      </c>
      <c r="C67" s="34" t="s">
        <v>1568</v>
      </c>
      <c r="D67" s="41" t="s">
        <v>1160</v>
      </c>
      <c r="E67" s="34" t="s">
        <v>167</v>
      </c>
      <c r="F67" s="34" t="s">
        <v>214</v>
      </c>
      <c r="G67" s="34"/>
      <c r="H67" s="77">
        <v>739.77</v>
      </c>
      <c r="I67" s="15" t="s">
        <v>196</v>
      </c>
      <c r="J67" s="17">
        <f>IF(H67&gt;0,(H67*VLOOKUP(Lookups!$K$11,Lookups!$M$10:$P$43,4,0)/VLOOKUP(I67,Lookups!$M$10:$P$43,4,0)),"")</f>
        <v>943.34140316347589</v>
      </c>
      <c r="K67" s="77"/>
      <c r="L67" s="15"/>
      <c r="M67" s="17" t="str">
        <f>IF(K67&gt;0,(K67*VLOOKUP(Lookups!$K$11,Lookups!$M$10:$P$43,4,0)/VLOOKUP(L67,Lookups!$M$10:$P$43,4,0)),"")</f>
        <v/>
      </c>
      <c r="N67" s="77"/>
      <c r="O67" s="15"/>
      <c r="P67" s="17" t="str">
        <f>IF(N67&gt;0,(N67*VLOOKUP(Lookups!$K$11,Lookups!$M$10:$P$43,4,0)/VLOOKUP(O67,Lookups!$M$10:$P$43,4,0)),"")</f>
        <v/>
      </c>
      <c r="Q67" s="82" t="s">
        <v>200</v>
      </c>
      <c r="R67" s="15" t="s">
        <v>149</v>
      </c>
      <c r="S67" s="34" t="s">
        <v>1161</v>
      </c>
      <c r="T67" s="134"/>
      <c r="U67" s="12"/>
    </row>
    <row r="68" spans="1:30" s="36" customFormat="1" ht="60" hidden="1" customHeight="1" outlineLevel="1" x14ac:dyDescent="0.25">
      <c r="A68" s="42" t="s">
        <v>848</v>
      </c>
      <c r="B68" s="42" t="s">
        <v>1172</v>
      </c>
      <c r="C68" s="42" t="s">
        <v>1569</v>
      </c>
      <c r="D68" s="42" t="s">
        <v>988</v>
      </c>
      <c r="E68" s="12" t="s">
        <v>263</v>
      </c>
      <c r="F68" s="12" t="s">
        <v>214</v>
      </c>
      <c r="G68" s="12" t="s">
        <v>1179</v>
      </c>
      <c r="H68" s="14">
        <v>64483</v>
      </c>
      <c r="I68" s="15" t="s">
        <v>196</v>
      </c>
      <c r="J68" s="17">
        <f>IF(H68&gt;0,(H68*VLOOKUP(Lookups!$K$11,Lookups!$M$10:$P$43,4,0)/VLOOKUP(I68,Lookups!$M$10:$P$43,4,0)),"")</f>
        <v>82227.562215540529</v>
      </c>
      <c r="K68" s="14"/>
      <c r="L68" s="15"/>
      <c r="M68" s="17" t="str">
        <f>IF(K68&gt;0,(K68*VLOOKUP(Lookups!$K$11,Lookups!$M$10:$P$43,4,0)/VLOOKUP(L68,Lookups!$M$10:$P$43,4,0)),"")</f>
        <v/>
      </c>
      <c r="N68" s="14"/>
      <c r="O68" s="15"/>
      <c r="P68" s="17" t="str">
        <f>IF(N68&gt;0,(N68*VLOOKUP(Lookups!$K$11,Lookups!$M$10:$P$43,4,0)/VLOOKUP(O68,Lookups!$M$10:$P$43,4,0)),"")</f>
        <v/>
      </c>
      <c r="Q68" s="34" t="s">
        <v>473</v>
      </c>
      <c r="R68" s="15" t="s">
        <v>149</v>
      </c>
      <c r="S68" s="12" t="s">
        <v>474</v>
      </c>
      <c r="T68" s="134"/>
      <c r="U68" s="12"/>
    </row>
    <row r="69" spans="1:30" s="78" customFormat="1" ht="60" customHeight="1" collapsed="1" x14ac:dyDescent="0.25">
      <c r="A69" s="40" t="s">
        <v>848</v>
      </c>
      <c r="B69" s="40" t="s">
        <v>1806</v>
      </c>
      <c r="C69" s="40" t="s">
        <v>1170</v>
      </c>
      <c r="D69" s="40" t="s">
        <v>1815</v>
      </c>
      <c r="E69" s="34" t="s">
        <v>163</v>
      </c>
      <c r="F69" s="34"/>
      <c r="G69" s="34"/>
      <c r="H69" s="77"/>
      <c r="I69" s="15"/>
      <c r="J69" s="17" t="str">
        <f>IF(H69&gt;0,(H69*VLOOKUP(Lookups!$K$11,Lookups!$M$10:$P$43,4,0)/VLOOKUP(I69,Lookups!$M$10:$P$43,4,0)),"")</f>
        <v/>
      </c>
      <c r="K69" s="77">
        <f>522/6.3</f>
        <v>82.857142857142861</v>
      </c>
      <c r="L69" s="15" t="s">
        <v>258</v>
      </c>
      <c r="M69" s="17">
        <f>IF(K69&gt;0,(K69*VLOOKUP(Lookups!$K$11,Lookups!$M$10:$P$43,4,0)/VLOOKUP(L69,Lookups!$M$10:$P$43,4,0)),"")</f>
        <v>95.855960394224653</v>
      </c>
      <c r="N69" s="77"/>
      <c r="O69" s="15"/>
      <c r="P69" s="17" t="str">
        <f>IF(N69&gt;0,(N69*VLOOKUP(Lookups!$K$11,Lookups!$M$10:$P$43,4,0)/VLOOKUP(O69,Lookups!$M$10:$P$43,4,0)),"")</f>
        <v/>
      </c>
      <c r="Q69" s="82" t="s">
        <v>1810</v>
      </c>
      <c r="R69" s="15" t="s">
        <v>152</v>
      </c>
      <c r="S69" s="83" t="s">
        <v>3040</v>
      </c>
      <c r="T69" s="134"/>
      <c r="U69" s="12"/>
    </row>
    <row r="70" spans="1:30" s="78" customFormat="1" ht="60" hidden="1" customHeight="1" outlineLevel="1" x14ac:dyDescent="0.25">
      <c r="A70" s="42" t="s">
        <v>848</v>
      </c>
      <c r="B70" s="42" t="s">
        <v>1806</v>
      </c>
      <c r="C70" s="42" t="s">
        <v>1171</v>
      </c>
      <c r="D70" s="42" t="s">
        <v>1816</v>
      </c>
      <c r="E70" s="34" t="s">
        <v>163</v>
      </c>
      <c r="F70" s="34"/>
      <c r="G70" s="34"/>
      <c r="H70" s="77"/>
      <c r="I70" s="15"/>
      <c r="J70" s="17" t="str">
        <f>IF(H70&gt;0,(H70*VLOOKUP(Lookups!$K$11,Lookups!$M$10:$P$43,4,0)/VLOOKUP(I70,Lookups!$M$10:$P$43,4,0)),"")</f>
        <v/>
      </c>
      <c r="K70" s="77">
        <f>15000/140</f>
        <v>107.14285714285714</v>
      </c>
      <c r="L70" s="15" t="s">
        <v>196</v>
      </c>
      <c r="M70" s="17">
        <f>IF(K70&gt;0,(K70*VLOOKUP(Lookups!$K$11,Lookups!$M$10:$P$43,4,0)/VLOOKUP(L70,Lookups!$M$10:$P$43,4,0)),"")</f>
        <v>136.62664503303284</v>
      </c>
      <c r="N70" s="77"/>
      <c r="O70" s="15"/>
      <c r="P70" s="17" t="str">
        <f>IF(N70&gt;0,(N70*VLOOKUP(Lookups!$K$11,Lookups!$M$10:$P$43,4,0)/VLOOKUP(O70,Lookups!$M$10:$P$43,4,0)),"")</f>
        <v/>
      </c>
      <c r="Q70" s="82" t="s">
        <v>1811</v>
      </c>
      <c r="R70" s="15" t="s">
        <v>149</v>
      </c>
      <c r="S70" s="83" t="s">
        <v>1812</v>
      </c>
      <c r="T70" s="134"/>
      <c r="U70" s="12"/>
    </row>
    <row r="71" spans="1:30" s="78" customFormat="1" ht="60" hidden="1" customHeight="1" outlineLevel="1" x14ac:dyDescent="0.25">
      <c r="A71" s="42" t="s">
        <v>848</v>
      </c>
      <c r="B71" s="42" t="s">
        <v>1806</v>
      </c>
      <c r="C71" s="42" t="s">
        <v>1809</v>
      </c>
      <c r="D71" s="42" t="s">
        <v>1817</v>
      </c>
      <c r="E71" s="34" t="s">
        <v>167</v>
      </c>
      <c r="F71" s="34"/>
      <c r="G71" s="34"/>
      <c r="H71" s="77"/>
      <c r="I71" s="15"/>
      <c r="J71" s="17" t="str">
        <f>IF(H71&gt;0,(H71*VLOOKUP(Lookups!$K$11,Lookups!$M$10:$P$43,4,0)/VLOOKUP(I71,Lookups!$M$10:$P$43,4,0)),"")</f>
        <v/>
      </c>
      <c r="K71" s="77">
        <v>30614</v>
      </c>
      <c r="L71" s="15" t="s">
        <v>256</v>
      </c>
      <c r="M71" s="17">
        <f>IF(K71&gt;0,(K71*VLOOKUP(Lookups!$K$11,Lookups!$M$10:$P$43,4,0)/VLOOKUP(L71,Lookups!$M$10:$P$43,4,0)),"")</f>
        <v>36433.498147053295</v>
      </c>
      <c r="N71" s="77"/>
      <c r="O71" s="15"/>
      <c r="P71" s="17" t="str">
        <f>IF(N71&gt;0,(N71*VLOOKUP(Lookups!$K$11,Lookups!$M$10:$P$43,4,0)/VLOOKUP(O71,Lookups!$M$10:$P$43,4,0)),"")</f>
        <v/>
      </c>
      <c r="Q71" s="82" t="s">
        <v>1813</v>
      </c>
      <c r="R71" s="15" t="s">
        <v>152</v>
      </c>
      <c r="S71" s="83" t="s">
        <v>1814</v>
      </c>
      <c r="T71" s="134"/>
      <c r="U71" s="12"/>
    </row>
    <row r="72" spans="1:30" s="78" customFormat="1" ht="60" customHeight="1" collapsed="1" x14ac:dyDescent="0.25">
      <c r="A72" s="40" t="s">
        <v>848</v>
      </c>
      <c r="B72" s="40" t="s">
        <v>1200</v>
      </c>
      <c r="C72" s="40" t="s">
        <v>1807</v>
      </c>
      <c r="D72" s="40" t="s">
        <v>1201</v>
      </c>
      <c r="E72" s="34" t="s">
        <v>652</v>
      </c>
      <c r="F72" s="34" t="s">
        <v>214</v>
      </c>
      <c r="G72" s="34" t="s">
        <v>681</v>
      </c>
      <c r="H72" s="77">
        <v>31174</v>
      </c>
      <c r="I72" s="15" t="s">
        <v>255</v>
      </c>
      <c r="J72" s="17">
        <f>IF(H72&gt;0,(H72*VLOOKUP(Lookups!$K$11,Lookups!$M$10:$P$43,4,0)/VLOOKUP(I72,Lookups!$M$10:$P$43,4,0)),"")</f>
        <v>37527.366685262255</v>
      </c>
      <c r="K72" s="77"/>
      <c r="L72" s="15"/>
      <c r="M72" s="17" t="str">
        <f>IF(K72&gt;0,(K72*VLOOKUP(Lookups!$K$11,Lookups!$M$10:$P$43,4,0)/VLOOKUP(L72,Lookups!$M$10:$P$43,4,0)),"")</f>
        <v/>
      </c>
      <c r="N72" s="77"/>
      <c r="O72" s="15"/>
      <c r="P72" s="17" t="str">
        <f>IF(N72&gt;0,(N72*VLOOKUP(Lookups!$K$11,Lookups!$M$10:$P$43,4,0)/VLOOKUP(O72,Lookups!$M$10:$P$43,4,0)),"")</f>
        <v/>
      </c>
      <c r="Q72" s="34" t="s">
        <v>1199</v>
      </c>
      <c r="R72" s="15" t="s">
        <v>152</v>
      </c>
      <c r="S72" s="83" t="s">
        <v>0</v>
      </c>
      <c r="T72" s="134"/>
      <c r="U72" s="12"/>
    </row>
    <row r="73" spans="1:30" s="78" customFormat="1" ht="60" hidden="1" customHeight="1" outlineLevel="1" x14ac:dyDescent="0.25">
      <c r="A73" s="42" t="s">
        <v>848</v>
      </c>
      <c r="B73" s="42" t="s">
        <v>1200</v>
      </c>
      <c r="C73" s="42" t="s">
        <v>1808</v>
      </c>
      <c r="D73" s="42" t="s">
        <v>1202</v>
      </c>
      <c r="E73" s="34" t="s">
        <v>652</v>
      </c>
      <c r="F73" s="34" t="s">
        <v>214</v>
      </c>
      <c r="G73" s="34" t="s">
        <v>681</v>
      </c>
      <c r="H73" s="77">
        <v>38453</v>
      </c>
      <c r="I73" s="15" t="s">
        <v>255</v>
      </c>
      <c r="J73" s="17">
        <f>IF(H73&gt;0,(H73*VLOOKUP(Lookups!$K$11,Lookups!$M$10:$P$43,4,0)/VLOOKUP(I73,Lookups!$M$10:$P$43,4,0)),"")</f>
        <v>46289.851515634487</v>
      </c>
      <c r="K73" s="77"/>
      <c r="L73" s="15"/>
      <c r="M73" s="17" t="str">
        <f>IF(K73&gt;0,(K73*VLOOKUP(Lookups!$K$11,Lookups!$M$10:$P$43,4,0)/VLOOKUP(L73,Lookups!$M$10:$P$43,4,0)),"")</f>
        <v/>
      </c>
      <c r="N73" s="77"/>
      <c r="O73" s="15"/>
      <c r="P73" s="17" t="str">
        <f>IF(N73&gt;0,(N73*VLOOKUP(Lookups!$K$11,Lookups!$M$10:$P$43,4,0)/VLOOKUP(O73,Lookups!$M$10:$P$43,4,0)),"")</f>
        <v/>
      </c>
      <c r="Q73" s="34" t="s">
        <v>1199</v>
      </c>
      <c r="R73" s="15" t="s">
        <v>152</v>
      </c>
      <c r="S73" s="83" t="s">
        <v>1</v>
      </c>
      <c r="T73" s="134"/>
      <c r="U73" s="12"/>
    </row>
    <row r="74" spans="1:30" customFormat="1" ht="12.75" customHeight="1" x14ac:dyDescent="0.25">
      <c r="T74" s="179"/>
    </row>
    <row r="75" spans="1:30" customFormat="1" ht="12.75" customHeight="1" x14ac:dyDescent="0.25">
      <c r="T75" s="179"/>
    </row>
    <row r="76" spans="1:30" s="73" customFormat="1" x14ac:dyDescent="0.25">
      <c r="D76" s="74"/>
      <c r="E76" s="71"/>
      <c r="F76" s="71"/>
      <c r="G76" s="71"/>
      <c r="H76" s="71"/>
      <c r="I76" s="71"/>
      <c r="J76" s="72"/>
      <c r="K76" s="71"/>
      <c r="L76" s="71"/>
      <c r="M76" s="72"/>
      <c r="N76" s="71"/>
      <c r="O76" s="71"/>
      <c r="P76" s="72"/>
      <c r="Q76" s="70"/>
      <c r="R76" s="70"/>
      <c r="S76" s="70"/>
      <c r="T76" s="178"/>
      <c r="U76" s="68"/>
      <c r="V76" s="68"/>
      <c r="W76" s="68"/>
      <c r="X76" s="68"/>
      <c r="Y76" s="68"/>
      <c r="Z76" s="68"/>
      <c r="AA76" s="68"/>
      <c r="AB76" s="68"/>
      <c r="AC76" s="68"/>
      <c r="AD76" s="68"/>
    </row>
    <row r="77" spans="1:30" s="73" customFormat="1" x14ac:dyDescent="0.25">
      <c r="D77" s="74"/>
      <c r="E77" s="71"/>
      <c r="F77" s="71"/>
      <c r="G77" s="71"/>
      <c r="H77" s="71"/>
      <c r="I77" s="71"/>
      <c r="J77" s="72"/>
      <c r="K77" s="71"/>
      <c r="L77" s="71"/>
      <c r="M77" s="72"/>
      <c r="N77" s="71"/>
      <c r="O77" s="71"/>
      <c r="P77" s="72"/>
      <c r="Q77" s="70"/>
      <c r="R77" s="70"/>
      <c r="S77" s="70"/>
      <c r="T77" s="178"/>
      <c r="U77" s="68"/>
      <c r="V77" s="68"/>
      <c r="W77" s="68"/>
      <c r="X77" s="68"/>
      <c r="Y77" s="68"/>
      <c r="Z77" s="68"/>
      <c r="AA77" s="68"/>
      <c r="AB77" s="68"/>
      <c r="AC77" s="68"/>
      <c r="AD77" s="68"/>
    </row>
    <row r="78" spans="1:30" s="73" customFormat="1" x14ac:dyDescent="0.25">
      <c r="D78" s="74"/>
      <c r="E78" s="71"/>
      <c r="F78" s="71"/>
      <c r="G78" s="71"/>
      <c r="H78" s="71"/>
      <c r="I78" s="71"/>
      <c r="J78" s="72"/>
      <c r="K78" s="71"/>
      <c r="L78" s="71"/>
      <c r="M78" s="72"/>
      <c r="N78" s="71"/>
      <c r="O78" s="71"/>
      <c r="P78" s="72"/>
      <c r="Q78" s="70"/>
      <c r="R78" s="70"/>
      <c r="S78" s="70"/>
      <c r="T78" s="178"/>
      <c r="U78" s="68"/>
      <c r="V78" s="68"/>
      <c r="W78" s="68"/>
      <c r="X78" s="68"/>
      <c r="Y78" s="68"/>
      <c r="Z78" s="68"/>
      <c r="AA78" s="68"/>
      <c r="AB78" s="68"/>
      <c r="AC78" s="68"/>
      <c r="AD78" s="68"/>
    </row>
    <row r="79" spans="1:30" s="73" customFormat="1" x14ac:dyDescent="0.25">
      <c r="D79" s="74"/>
      <c r="E79" s="71"/>
      <c r="F79" s="71"/>
      <c r="G79" s="71"/>
      <c r="H79" s="71"/>
      <c r="I79" s="71"/>
      <c r="J79" s="72"/>
      <c r="K79" s="71"/>
      <c r="L79" s="71"/>
      <c r="M79" s="72"/>
      <c r="N79" s="71"/>
      <c r="O79" s="71"/>
      <c r="P79" s="72"/>
      <c r="Q79" s="70"/>
      <c r="R79" s="70"/>
      <c r="S79" s="70"/>
      <c r="T79" s="178"/>
      <c r="U79" s="68"/>
      <c r="V79" s="68"/>
      <c r="W79" s="68"/>
      <c r="X79" s="68"/>
      <c r="Y79" s="68"/>
      <c r="Z79" s="68"/>
      <c r="AA79" s="68"/>
      <c r="AB79" s="68"/>
      <c r="AC79" s="68"/>
      <c r="AD79" s="68"/>
    </row>
    <row r="80" spans="1:30" s="73" customFormat="1" x14ac:dyDescent="0.25">
      <c r="D80" s="74"/>
      <c r="E80" s="71"/>
      <c r="F80" s="71"/>
      <c r="G80" s="71"/>
      <c r="H80" s="71"/>
      <c r="I80" s="71"/>
      <c r="J80" s="72"/>
      <c r="K80" s="71"/>
      <c r="L80" s="71"/>
      <c r="M80" s="72"/>
      <c r="N80" s="71"/>
      <c r="O80" s="71"/>
      <c r="P80" s="72"/>
      <c r="Q80" s="70"/>
      <c r="R80" s="70"/>
      <c r="S80" s="70"/>
      <c r="T80" s="178"/>
      <c r="U80" s="68"/>
      <c r="V80" s="68"/>
      <c r="W80" s="68"/>
      <c r="X80" s="68"/>
      <c r="Y80" s="68"/>
      <c r="Z80" s="68"/>
      <c r="AA80" s="68"/>
      <c r="AB80" s="68"/>
      <c r="AC80" s="68"/>
      <c r="AD80" s="68"/>
    </row>
    <row r="81" spans="4:30" s="73" customFormat="1" x14ac:dyDescent="0.25">
      <c r="D81" s="74"/>
      <c r="E81" s="71"/>
      <c r="F81" s="71"/>
      <c r="G81" s="71"/>
      <c r="H81" s="71"/>
      <c r="I81" s="71"/>
      <c r="J81" s="72"/>
      <c r="K81" s="71"/>
      <c r="L81" s="71"/>
      <c r="M81" s="72"/>
      <c r="N81" s="71"/>
      <c r="O81" s="71"/>
      <c r="P81" s="72"/>
      <c r="Q81" s="70"/>
      <c r="R81" s="70"/>
      <c r="S81" s="70"/>
      <c r="T81" s="178"/>
      <c r="U81" s="68"/>
      <c r="V81" s="68"/>
      <c r="W81" s="68"/>
      <c r="X81" s="68"/>
      <c r="Y81" s="68"/>
      <c r="Z81" s="68"/>
      <c r="AA81" s="68"/>
      <c r="AB81" s="68"/>
      <c r="AC81" s="68"/>
      <c r="AD81" s="68"/>
    </row>
    <row r="82" spans="4:30" s="73" customFormat="1" x14ac:dyDescent="0.25">
      <c r="D82" s="74"/>
      <c r="E82" s="71"/>
      <c r="F82" s="71"/>
      <c r="G82" s="71"/>
      <c r="H82" s="71"/>
      <c r="I82" s="71"/>
      <c r="J82" s="72"/>
      <c r="K82" s="71"/>
      <c r="L82" s="71"/>
      <c r="M82" s="72"/>
      <c r="N82" s="71"/>
      <c r="O82" s="71"/>
      <c r="P82" s="72"/>
      <c r="Q82" s="70"/>
      <c r="R82" s="70"/>
      <c r="S82" s="70"/>
      <c r="T82" s="178"/>
      <c r="U82" s="68"/>
      <c r="V82" s="68"/>
      <c r="W82" s="68"/>
      <c r="X82" s="68"/>
      <c r="Y82" s="68"/>
      <c r="Z82" s="68"/>
      <c r="AA82" s="68"/>
      <c r="AB82" s="68"/>
      <c r="AC82" s="68"/>
      <c r="AD82" s="68"/>
    </row>
    <row r="83" spans="4:30" s="73" customFormat="1" x14ac:dyDescent="0.25">
      <c r="D83" s="74"/>
      <c r="E83" s="71"/>
      <c r="F83" s="71"/>
      <c r="G83" s="71"/>
      <c r="H83" s="71"/>
      <c r="I83" s="71"/>
      <c r="J83" s="72"/>
      <c r="K83" s="71"/>
      <c r="L83" s="71"/>
      <c r="M83" s="72"/>
      <c r="N83" s="71"/>
      <c r="O83" s="71"/>
      <c r="P83" s="72"/>
      <c r="Q83" s="70"/>
      <c r="R83" s="70"/>
      <c r="S83" s="70"/>
      <c r="T83" s="178"/>
      <c r="U83" s="68"/>
      <c r="V83" s="68"/>
      <c r="W83" s="68"/>
      <c r="X83" s="68"/>
      <c r="Y83" s="68"/>
      <c r="Z83" s="68"/>
      <c r="AA83" s="68"/>
      <c r="AB83" s="68"/>
      <c r="AC83" s="68"/>
      <c r="AD83" s="68"/>
    </row>
    <row r="84" spans="4:30" s="73" customFormat="1" x14ac:dyDescent="0.25">
      <c r="D84" s="74"/>
      <c r="E84" s="71"/>
      <c r="F84" s="71"/>
      <c r="G84" s="71"/>
      <c r="H84" s="71"/>
      <c r="I84" s="71"/>
      <c r="J84" s="72"/>
      <c r="K84" s="71"/>
      <c r="L84" s="71"/>
      <c r="M84" s="72"/>
      <c r="N84" s="71"/>
      <c r="O84" s="71"/>
      <c r="P84" s="72"/>
      <c r="Q84" s="70"/>
      <c r="R84" s="70"/>
      <c r="S84" s="70"/>
      <c r="T84" s="178"/>
      <c r="U84" s="68"/>
      <c r="V84" s="68"/>
      <c r="W84" s="68"/>
      <c r="X84" s="68"/>
      <c r="Y84" s="68"/>
      <c r="Z84" s="68"/>
      <c r="AA84" s="68"/>
      <c r="AB84" s="68"/>
      <c r="AC84" s="68"/>
      <c r="AD84" s="68"/>
    </row>
    <row r="85" spans="4:30" s="73" customFormat="1" x14ac:dyDescent="0.25">
      <c r="D85" s="74"/>
      <c r="E85" s="71"/>
      <c r="F85" s="71"/>
      <c r="G85" s="71"/>
      <c r="H85" s="71"/>
      <c r="I85" s="71"/>
      <c r="J85" s="72"/>
      <c r="K85" s="71"/>
      <c r="L85" s="71"/>
      <c r="M85" s="72"/>
      <c r="N85" s="71"/>
      <c r="O85" s="71"/>
      <c r="P85" s="72"/>
      <c r="Q85" s="70"/>
      <c r="R85" s="70"/>
      <c r="S85" s="70"/>
      <c r="T85" s="178"/>
      <c r="U85" s="68"/>
      <c r="V85" s="68"/>
      <c r="W85" s="68"/>
      <c r="X85" s="68"/>
      <c r="Y85" s="68"/>
      <c r="Z85" s="68"/>
      <c r="AA85" s="68"/>
      <c r="AB85" s="68"/>
      <c r="AC85" s="68"/>
      <c r="AD85" s="68"/>
    </row>
    <row r="86" spans="4:30" s="73" customFormat="1" x14ac:dyDescent="0.25">
      <c r="D86" s="74"/>
      <c r="E86" s="71"/>
      <c r="F86" s="71"/>
      <c r="G86" s="71"/>
      <c r="H86" s="71"/>
      <c r="I86" s="71"/>
      <c r="J86" s="72"/>
      <c r="K86" s="71"/>
      <c r="L86" s="71"/>
      <c r="M86" s="72"/>
      <c r="N86" s="71"/>
      <c r="O86" s="71"/>
      <c r="P86" s="72"/>
      <c r="Q86" s="70"/>
      <c r="R86" s="70"/>
      <c r="S86" s="70"/>
      <c r="T86" s="178"/>
      <c r="U86" s="68"/>
      <c r="V86" s="68"/>
      <c r="W86" s="68"/>
      <c r="X86" s="68"/>
      <c r="Y86" s="68"/>
      <c r="Z86" s="68"/>
      <c r="AA86" s="68"/>
      <c r="AB86" s="68"/>
      <c r="AC86" s="68"/>
      <c r="AD86" s="68"/>
    </row>
    <row r="87" spans="4:30" s="73" customFormat="1" x14ac:dyDescent="0.25">
      <c r="D87" s="74"/>
      <c r="E87" s="71"/>
      <c r="F87" s="71"/>
      <c r="G87" s="71"/>
      <c r="H87" s="71"/>
      <c r="I87" s="71"/>
      <c r="J87" s="72"/>
      <c r="K87" s="71"/>
      <c r="L87" s="71"/>
      <c r="M87" s="72"/>
      <c r="N87" s="71"/>
      <c r="O87" s="71"/>
      <c r="P87" s="72"/>
      <c r="Q87" s="70"/>
      <c r="R87" s="70"/>
      <c r="S87" s="70"/>
      <c r="T87" s="178"/>
      <c r="U87" s="68"/>
      <c r="V87" s="68"/>
      <c r="W87" s="68"/>
      <c r="X87" s="68"/>
      <c r="Y87" s="68"/>
      <c r="Z87" s="68"/>
      <c r="AA87" s="68"/>
      <c r="AB87" s="68"/>
      <c r="AC87" s="68"/>
      <c r="AD87" s="68"/>
    </row>
    <row r="88" spans="4:30" s="73" customFormat="1" x14ac:dyDescent="0.25">
      <c r="D88" s="74"/>
      <c r="E88" s="71"/>
      <c r="F88" s="71"/>
      <c r="G88" s="71"/>
      <c r="H88" s="71"/>
      <c r="I88" s="71"/>
      <c r="J88" s="72"/>
      <c r="K88" s="71"/>
      <c r="L88" s="71"/>
      <c r="M88" s="72"/>
      <c r="N88" s="71"/>
      <c r="O88" s="71"/>
      <c r="P88" s="72"/>
      <c r="Q88" s="70"/>
      <c r="R88" s="70"/>
      <c r="S88" s="70"/>
      <c r="T88" s="178"/>
      <c r="U88" s="68"/>
      <c r="V88" s="68"/>
      <c r="W88" s="68"/>
      <c r="X88" s="68"/>
      <c r="Y88" s="68"/>
      <c r="Z88" s="68"/>
      <c r="AA88" s="68"/>
      <c r="AB88" s="68"/>
      <c r="AC88" s="68"/>
      <c r="AD88" s="68"/>
    </row>
    <row r="89" spans="4:30" s="73" customFormat="1" x14ac:dyDescent="0.25">
      <c r="D89" s="74"/>
      <c r="E89" s="71"/>
      <c r="F89" s="71"/>
      <c r="G89" s="71"/>
      <c r="H89" s="71"/>
      <c r="I89" s="71"/>
      <c r="J89" s="72"/>
      <c r="K89" s="71"/>
      <c r="L89" s="71"/>
      <c r="M89" s="72"/>
      <c r="N89" s="71"/>
      <c r="O89" s="71"/>
      <c r="P89" s="72"/>
      <c r="Q89" s="70"/>
      <c r="R89" s="70"/>
      <c r="S89" s="70"/>
      <c r="T89" s="178"/>
      <c r="U89" s="68"/>
      <c r="V89" s="68"/>
      <c r="W89" s="68"/>
      <c r="X89" s="68"/>
      <c r="Y89" s="68"/>
      <c r="Z89" s="68"/>
      <c r="AA89" s="68"/>
      <c r="AB89" s="68"/>
      <c r="AC89" s="68"/>
      <c r="AD89" s="68"/>
    </row>
    <row r="90" spans="4:30" s="73" customFormat="1" x14ac:dyDescent="0.25">
      <c r="D90" s="74"/>
      <c r="E90" s="71"/>
      <c r="F90" s="71"/>
      <c r="G90" s="71"/>
      <c r="H90" s="71"/>
      <c r="I90" s="71"/>
      <c r="J90" s="72"/>
      <c r="K90" s="71"/>
      <c r="L90" s="71"/>
      <c r="M90" s="72"/>
      <c r="N90" s="71"/>
      <c r="O90" s="71"/>
      <c r="P90" s="72"/>
      <c r="Q90" s="70"/>
      <c r="R90" s="70"/>
      <c r="S90" s="70"/>
      <c r="T90" s="178"/>
      <c r="U90" s="68"/>
      <c r="V90" s="68"/>
      <c r="W90" s="68"/>
      <c r="X90" s="68"/>
      <c r="Y90" s="68"/>
      <c r="Z90" s="68"/>
      <c r="AA90" s="68"/>
      <c r="AB90" s="68"/>
      <c r="AC90" s="68"/>
      <c r="AD90" s="68"/>
    </row>
    <row r="91" spans="4:30" s="73" customFormat="1" x14ac:dyDescent="0.25">
      <c r="D91" s="74"/>
      <c r="E91" s="71"/>
      <c r="F91" s="71"/>
      <c r="G91" s="71"/>
      <c r="H91" s="71"/>
      <c r="I91" s="71"/>
      <c r="J91" s="72"/>
      <c r="K91" s="71"/>
      <c r="L91" s="71"/>
      <c r="M91" s="72"/>
      <c r="N91" s="71"/>
      <c r="O91" s="71"/>
      <c r="P91" s="72"/>
      <c r="Q91" s="70"/>
      <c r="R91" s="70"/>
      <c r="S91" s="70"/>
      <c r="T91" s="178"/>
      <c r="U91" s="68"/>
      <c r="V91" s="68"/>
      <c r="W91" s="68"/>
      <c r="X91" s="68"/>
      <c r="Y91" s="68"/>
      <c r="Z91" s="68"/>
      <c r="AA91" s="68"/>
      <c r="AB91" s="68"/>
      <c r="AC91" s="68"/>
      <c r="AD91" s="68"/>
    </row>
    <row r="92" spans="4:30" s="73" customFormat="1" x14ac:dyDescent="0.25">
      <c r="D92" s="74"/>
      <c r="E92" s="71"/>
      <c r="F92" s="71"/>
      <c r="G92" s="71"/>
      <c r="H92" s="71"/>
      <c r="I92" s="71"/>
      <c r="J92" s="72"/>
      <c r="K92" s="71"/>
      <c r="L92" s="71"/>
      <c r="M92" s="72"/>
      <c r="N92" s="71"/>
      <c r="O92" s="71"/>
      <c r="P92" s="72"/>
      <c r="Q92" s="70"/>
      <c r="R92" s="70"/>
      <c r="S92" s="70"/>
      <c r="T92" s="178"/>
      <c r="U92" s="68"/>
      <c r="V92" s="68"/>
      <c r="W92" s="68"/>
      <c r="X92" s="68"/>
      <c r="Y92" s="68"/>
      <c r="Z92" s="68"/>
      <c r="AA92" s="68"/>
      <c r="AB92" s="68"/>
      <c r="AC92" s="68"/>
      <c r="AD92" s="68"/>
    </row>
    <row r="93" spans="4:30" s="73" customFormat="1" x14ac:dyDescent="0.25">
      <c r="D93" s="74"/>
      <c r="E93" s="71"/>
      <c r="F93" s="71"/>
      <c r="G93" s="71"/>
      <c r="H93" s="71"/>
      <c r="I93" s="71"/>
      <c r="J93" s="72"/>
      <c r="K93" s="71"/>
      <c r="L93" s="71"/>
      <c r="M93" s="72"/>
      <c r="N93" s="71"/>
      <c r="O93" s="71"/>
      <c r="P93" s="72"/>
      <c r="Q93" s="70"/>
      <c r="R93" s="70"/>
      <c r="S93" s="70"/>
      <c r="T93" s="178"/>
      <c r="U93" s="68"/>
      <c r="V93" s="68"/>
      <c r="W93" s="68"/>
      <c r="X93" s="68"/>
      <c r="Y93" s="68"/>
      <c r="Z93" s="68"/>
      <c r="AA93" s="68"/>
      <c r="AB93" s="68"/>
      <c r="AC93" s="68"/>
      <c r="AD93" s="68"/>
    </row>
    <row r="94" spans="4:30" s="73" customFormat="1" x14ac:dyDescent="0.25">
      <c r="D94" s="74"/>
      <c r="E94" s="71"/>
      <c r="F94" s="71"/>
      <c r="G94" s="71"/>
      <c r="H94" s="71"/>
      <c r="I94" s="71"/>
      <c r="J94" s="72"/>
      <c r="K94" s="71"/>
      <c r="L94" s="71"/>
      <c r="M94" s="72"/>
      <c r="N94" s="71"/>
      <c r="O94" s="71"/>
      <c r="P94" s="72"/>
      <c r="Q94" s="70"/>
      <c r="R94" s="70"/>
      <c r="S94" s="70"/>
      <c r="T94" s="178"/>
      <c r="U94" s="68"/>
      <c r="V94" s="68"/>
      <c r="W94" s="68"/>
      <c r="X94" s="68"/>
      <c r="Y94" s="68"/>
      <c r="Z94" s="68"/>
      <c r="AA94" s="68"/>
      <c r="AB94" s="68"/>
      <c r="AC94" s="68"/>
      <c r="AD94" s="68"/>
    </row>
    <row r="95" spans="4:30" s="73" customFormat="1" x14ac:dyDescent="0.25">
      <c r="D95" s="74"/>
      <c r="E95" s="71"/>
      <c r="F95" s="71"/>
      <c r="G95" s="71"/>
      <c r="H95" s="71"/>
      <c r="I95" s="71"/>
      <c r="J95" s="72"/>
      <c r="K95" s="71"/>
      <c r="L95" s="71"/>
      <c r="M95" s="72"/>
      <c r="N95" s="71"/>
      <c r="O95" s="71"/>
      <c r="P95" s="72"/>
      <c r="Q95" s="70"/>
      <c r="R95" s="70"/>
      <c r="S95" s="70"/>
      <c r="T95" s="178"/>
      <c r="U95" s="68"/>
      <c r="V95" s="68"/>
      <c r="W95" s="68"/>
      <c r="X95" s="68"/>
      <c r="Y95" s="68"/>
      <c r="Z95" s="68"/>
      <c r="AA95" s="68"/>
      <c r="AB95" s="68"/>
      <c r="AC95" s="68"/>
      <c r="AD95" s="68"/>
    </row>
    <row r="96" spans="4:30" s="73" customFormat="1" x14ac:dyDescent="0.25">
      <c r="D96" s="74"/>
      <c r="E96" s="71"/>
      <c r="F96" s="71"/>
      <c r="G96" s="71"/>
      <c r="H96" s="71"/>
      <c r="I96" s="71"/>
      <c r="J96" s="72"/>
      <c r="K96" s="71"/>
      <c r="L96" s="71"/>
      <c r="M96" s="72"/>
      <c r="N96" s="71"/>
      <c r="O96" s="71"/>
      <c r="P96" s="72"/>
      <c r="Q96" s="70"/>
      <c r="R96" s="70"/>
      <c r="S96" s="70"/>
      <c r="T96" s="178"/>
      <c r="U96" s="68"/>
      <c r="V96" s="68"/>
      <c r="W96" s="68"/>
      <c r="X96" s="68"/>
      <c r="Y96" s="68"/>
      <c r="Z96" s="68"/>
      <c r="AA96" s="68"/>
      <c r="AB96" s="68"/>
      <c r="AC96" s="68"/>
      <c r="AD96" s="68"/>
    </row>
    <row r="97" spans="4:30" s="73" customFormat="1" x14ac:dyDescent="0.25">
      <c r="D97" s="74"/>
      <c r="E97" s="71"/>
      <c r="F97" s="71"/>
      <c r="G97" s="71"/>
      <c r="H97" s="71"/>
      <c r="I97" s="71"/>
      <c r="J97" s="72"/>
      <c r="K97" s="71"/>
      <c r="L97" s="71"/>
      <c r="M97" s="72"/>
      <c r="N97" s="71"/>
      <c r="O97" s="71"/>
      <c r="P97" s="72"/>
      <c r="Q97" s="70"/>
      <c r="R97" s="70"/>
      <c r="S97" s="70"/>
      <c r="T97" s="178"/>
      <c r="U97" s="68"/>
      <c r="V97" s="68"/>
      <c r="W97" s="68"/>
      <c r="X97" s="68"/>
      <c r="Y97" s="68"/>
      <c r="Z97" s="68"/>
      <c r="AA97" s="68"/>
      <c r="AB97" s="68"/>
      <c r="AC97" s="68"/>
      <c r="AD97" s="68"/>
    </row>
    <row r="98" spans="4:30" s="73" customFormat="1" x14ac:dyDescent="0.25">
      <c r="D98" s="74"/>
      <c r="E98" s="71"/>
      <c r="F98" s="71"/>
      <c r="G98" s="71"/>
      <c r="H98" s="71"/>
      <c r="I98" s="71"/>
      <c r="J98" s="72"/>
      <c r="K98" s="71"/>
      <c r="L98" s="71"/>
      <c r="M98" s="72"/>
      <c r="N98" s="71"/>
      <c r="O98" s="71"/>
      <c r="P98" s="72"/>
      <c r="Q98" s="70"/>
      <c r="R98" s="70"/>
      <c r="S98" s="70"/>
      <c r="T98" s="178"/>
      <c r="U98" s="68"/>
      <c r="V98" s="68"/>
      <c r="W98" s="68"/>
      <c r="X98" s="68"/>
      <c r="Y98" s="68"/>
      <c r="Z98" s="68"/>
      <c r="AA98" s="68"/>
      <c r="AB98" s="68"/>
      <c r="AC98" s="68"/>
      <c r="AD98" s="68"/>
    </row>
    <row r="99" spans="4:30" s="73" customFormat="1" x14ac:dyDescent="0.25">
      <c r="D99" s="74"/>
      <c r="E99" s="71"/>
      <c r="F99" s="71"/>
      <c r="G99" s="71"/>
      <c r="H99" s="71"/>
      <c r="I99" s="71"/>
      <c r="J99" s="72"/>
      <c r="K99" s="71"/>
      <c r="L99" s="71"/>
      <c r="M99" s="72"/>
      <c r="N99" s="71"/>
      <c r="O99" s="71"/>
      <c r="P99" s="72"/>
      <c r="Q99" s="70"/>
      <c r="R99" s="70"/>
      <c r="S99" s="70"/>
      <c r="T99" s="178"/>
      <c r="U99" s="68"/>
      <c r="V99" s="68"/>
      <c r="W99" s="68"/>
      <c r="X99" s="68"/>
      <c r="Y99" s="68"/>
      <c r="Z99" s="68"/>
      <c r="AA99" s="68"/>
      <c r="AB99" s="68"/>
      <c r="AC99" s="68"/>
      <c r="AD99" s="68"/>
    </row>
    <row r="100" spans="4:30" s="73" customFormat="1" x14ac:dyDescent="0.25">
      <c r="D100" s="74"/>
      <c r="E100" s="71"/>
      <c r="F100" s="71"/>
      <c r="G100" s="71"/>
      <c r="H100" s="71"/>
      <c r="I100" s="71"/>
      <c r="J100" s="72"/>
      <c r="K100" s="71"/>
      <c r="L100" s="71"/>
      <c r="M100" s="72"/>
      <c r="N100" s="71"/>
      <c r="O100" s="71"/>
      <c r="P100" s="72"/>
      <c r="Q100" s="70"/>
      <c r="R100" s="70"/>
      <c r="S100" s="70"/>
      <c r="T100" s="178"/>
      <c r="U100" s="68"/>
      <c r="V100" s="68"/>
      <c r="W100" s="68"/>
      <c r="X100" s="68"/>
      <c r="Y100" s="68"/>
      <c r="Z100" s="68"/>
      <c r="AA100" s="68"/>
      <c r="AB100" s="68"/>
      <c r="AC100" s="68"/>
      <c r="AD100" s="68"/>
    </row>
    <row r="101" spans="4:30" s="73" customFormat="1" x14ac:dyDescent="0.25">
      <c r="D101" s="74"/>
      <c r="E101" s="71"/>
      <c r="F101" s="71"/>
      <c r="G101" s="71"/>
      <c r="H101" s="71"/>
      <c r="I101" s="71"/>
      <c r="J101" s="72"/>
      <c r="K101" s="71"/>
      <c r="L101" s="71"/>
      <c r="M101" s="72"/>
      <c r="N101" s="71"/>
      <c r="O101" s="71"/>
      <c r="P101" s="72"/>
      <c r="Q101" s="70"/>
      <c r="R101" s="70"/>
      <c r="S101" s="70"/>
      <c r="T101" s="178"/>
      <c r="U101" s="68"/>
      <c r="V101" s="68"/>
      <c r="W101" s="68"/>
      <c r="X101" s="68"/>
      <c r="Y101" s="68"/>
      <c r="Z101" s="68"/>
      <c r="AA101" s="68"/>
      <c r="AB101" s="68"/>
      <c r="AC101" s="68"/>
      <c r="AD101" s="68"/>
    </row>
    <row r="102" spans="4:30" s="73" customFormat="1" x14ac:dyDescent="0.25">
      <c r="D102" s="74"/>
      <c r="E102" s="71"/>
      <c r="F102" s="71"/>
      <c r="G102" s="71"/>
      <c r="H102" s="71"/>
      <c r="I102" s="71"/>
      <c r="J102" s="72"/>
      <c r="K102" s="71"/>
      <c r="L102" s="71"/>
      <c r="M102" s="72"/>
      <c r="N102" s="71"/>
      <c r="O102" s="71"/>
      <c r="P102" s="72"/>
      <c r="Q102" s="70"/>
      <c r="R102" s="70"/>
      <c r="S102" s="70"/>
      <c r="T102" s="178"/>
      <c r="U102" s="68"/>
      <c r="V102" s="68"/>
      <c r="W102" s="68"/>
      <c r="X102" s="68"/>
      <c r="Y102" s="68"/>
      <c r="Z102" s="68"/>
      <c r="AA102" s="68"/>
      <c r="AB102" s="68"/>
      <c r="AC102" s="68"/>
      <c r="AD102" s="68"/>
    </row>
    <row r="103" spans="4:30" s="73" customFormat="1" x14ac:dyDescent="0.25">
      <c r="D103" s="74"/>
      <c r="E103" s="71"/>
      <c r="F103" s="71"/>
      <c r="G103" s="71"/>
      <c r="H103" s="71"/>
      <c r="I103" s="71"/>
      <c r="J103" s="72"/>
      <c r="K103" s="71"/>
      <c r="L103" s="71"/>
      <c r="M103" s="72"/>
      <c r="N103" s="71"/>
      <c r="O103" s="71"/>
      <c r="P103" s="72"/>
      <c r="Q103" s="70"/>
      <c r="R103" s="70"/>
      <c r="S103" s="70"/>
      <c r="T103" s="178"/>
      <c r="U103" s="68"/>
      <c r="V103" s="68"/>
      <c r="W103" s="68"/>
      <c r="X103" s="68"/>
      <c r="Y103" s="68"/>
      <c r="Z103" s="68"/>
      <c r="AA103" s="68"/>
      <c r="AB103" s="68"/>
      <c r="AC103" s="68"/>
      <c r="AD103" s="68"/>
    </row>
    <row r="104" spans="4:30" s="73" customFormat="1" x14ac:dyDescent="0.25">
      <c r="D104" s="74"/>
      <c r="E104" s="71"/>
      <c r="F104" s="71"/>
      <c r="G104" s="71"/>
      <c r="H104" s="71"/>
      <c r="I104" s="71"/>
      <c r="J104" s="72"/>
      <c r="K104" s="71"/>
      <c r="L104" s="71"/>
      <c r="M104" s="72"/>
      <c r="N104" s="71"/>
      <c r="O104" s="71"/>
      <c r="P104" s="72"/>
      <c r="Q104" s="70"/>
      <c r="R104" s="70"/>
      <c r="S104" s="70"/>
      <c r="T104" s="178"/>
      <c r="U104" s="68"/>
      <c r="V104" s="68"/>
      <c r="W104" s="68"/>
      <c r="X104" s="68"/>
      <c r="Y104" s="68"/>
      <c r="Z104" s="68"/>
      <c r="AA104" s="68"/>
      <c r="AB104" s="68"/>
      <c r="AC104" s="68"/>
      <c r="AD104" s="68"/>
    </row>
    <row r="105" spans="4:30" s="73" customFormat="1" x14ac:dyDescent="0.25">
      <c r="D105" s="74"/>
      <c r="E105" s="71"/>
      <c r="F105" s="71"/>
      <c r="G105" s="71"/>
      <c r="H105" s="71"/>
      <c r="I105" s="71"/>
      <c r="J105" s="72"/>
      <c r="K105" s="71"/>
      <c r="L105" s="71"/>
      <c r="M105" s="72"/>
      <c r="N105" s="71"/>
      <c r="O105" s="71"/>
      <c r="P105" s="72"/>
      <c r="Q105" s="70"/>
      <c r="R105" s="70"/>
      <c r="S105" s="70"/>
      <c r="T105" s="178"/>
      <c r="U105" s="68"/>
      <c r="V105" s="68"/>
      <c r="W105" s="68"/>
      <c r="X105" s="68"/>
      <c r="Y105" s="68"/>
      <c r="Z105" s="68"/>
      <c r="AA105" s="68"/>
      <c r="AB105" s="68"/>
      <c r="AC105" s="68"/>
      <c r="AD105" s="68"/>
    </row>
    <row r="106" spans="4:30" s="73" customFormat="1" x14ac:dyDescent="0.25">
      <c r="D106" s="74"/>
      <c r="E106" s="71"/>
      <c r="F106" s="71"/>
      <c r="G106" s="71"/>
      <c r="H106" s="71"/>
      <c r="I106" s="71"/>
      <c r="J106" s="72"/>
      <c r="K106" s="71"/>
      <c r="L106" s="71"/>
      <c r="M106" s="72"/>
      <c r="N106" s="71"/>
      <c r="O106" s="71"/>
      <c r="P106" s="72"/>
      <c r="Q106" s="70"/>
      <c r="R106" s="70"/>
      <c r="S106" s="70"/>
      <c r="T106" s="178"/>
      <c r="U106" s="68"/>
      <c r="V106" s="68"/>
      <c r="W106" s="68"/>
      <c r="X106" s="68"/>
      <c r="Y106" s="68"/>
      <c r="Z106" s="68"/>
      <c r="AA106" s="68"/>
      <c r="AB106" s="68"/>
      <c r="AC106" s="68"/>
      <c r="AD106" s="68"/>
    </row>
    <row r="107" spans="4:30" s="73" customFormat="1" x14ac:dyDescent="0.25">
      <c r="D107" s="74"/>
      <c r="E107" s="71"/>
      <c r="F107" s="71"/>
      <c r="G107" s="71"/>
      <c r="H107" s="71"/>
      <c r="I107" s="71"/>
      <c r="J107" s="72"/>
      <c r="K107" s="71"/>
      <c r="L107" s="71"/>
      <c r="M107" s="72"/>
      <c r="N107" s="71"/>
      <c r="O107" s="71"/>
      <c r="P107" s="72"/>
      <c r="Q107" s="70"/>
      <c r="R107" s="70"/>
      <c r="S107" s="70"/>
      <c r="T107" s="178"/>
      <c r="U107" s="68"/>
      <c r="V107" s="68"/>
      <c r="W107" s="68"/>
      <c r="X107" s="68"/>
      <c r="Y107" s="68"/>
      <c r="Z107" s="68"/>
      <c r="AA107" s="68"/>
      <c r="AB107" s="68"/>
      <c r="AC107" s="68"/>
      <c r="AD107" s="68"/>
    </row>
    <row r="108" spans="4:30" s="73" customFormat="1" x14ac:dyDescent="0.25">
      <c r="D108" s="74"/>
      <c r="E108" s="71"/>
      <c r="F108" s="71"/>
      <c r="G108" s="71"/>
      <c r="H108" s="71"/>
      <c r="I108" s="71"/>
      <c r="J108" s="72"/>
      <c r="K108" s="71"/>
      <c r="L108" s="71"/>
      <c r="M108" s="72"/>
      <c r="N108" s="71"/>
      <c r="O108" s="71"/>
      <c r="P108" s="72"/>
      <c r="Q108" s="70"/>
      <c r="R108" s="70"/>
      <c r="S108" s="70"/>
      <c r="T108" s="178"/>
      <c r="U108" s="68"/>
      <c r="V108" s="68"/>
      <c r="W108" s="68"/>
      <c r="X108" s="68"/>
      <c r="Y108" s="68"/>
      <c r="Z108" s="68"/>
      <c r="AA108" s="68"/>
      <c r="AB108" s="68"/>
      <c r="AC108" s="68"/>
      <c r="AD108" s="68"/>
    </row>
    <row r="109" spans="4:30" s="73" customFormat="1" x14ac:dyDescent="0.25">
      <c r="D109" s="74"/>
      <c r="E109" s="71"/>
      <c r="F109" s="71"/>
      <c r="G109" s="71"/>
      <c r="H109" s="71"/>
      <c r="I109" s="71"/>
      <c r="J109" s="72"/>
      <c r="K109" s="71"/>
      <c r="L109" s="71"/>
      <c r="M109" s="72"/>
      <c r="N109" s="71"/>
      <c r="O109" s="71"/>
      <c r="P109" s="72"/>
      <c r="Q109" s="70"/>
      <c r="R109" s="70"/>
      <c r="S109" s="70"/>
      <c r="T109" s="178"/>
      <c r="U109" s="68"/>
      <c r="V109" s="68"/>
      <c r="W109" s="68"/>
      <c r="X109" s="68"/>
      <c r="Y109" s="68"/>
      <c r="Z109" s="68"/>
      <c r="AA109" s="68"/>
      <c r="AB109" s="68"/>
      <c r="AC109" s="68"/>
      <c r="AD109" s="68"/>
    </row>
    <row r="110" spans="4:30" s="73" customFormat="1" x14ac:dyDescent="0.25">
      <c r="D110" s="74"/>
      <c r="E110" s="71"/>
      <c r="F110" s="71"/>
      <c r="G110" s="71"/>
      <c r="H110" s="71"/>
      <c r="I110" s="71"/>
      <c r="J110" s="72"/>
      <c r="K110" s="71"/>
      <c r="L110" s="71"/>
      <c r="M110" s="72"/>
      <c r="N110" s="71"/>
      <c r="O110" s="71"/>
      <c r="P110" s="72"/>
      <c r="Q110" s="70"/>
      <c r="R110" s="70"/>
      <c r="S110" s="70"/>
      <c r="T110" s="178"/>
      <c r="U110" s="68"/>
      <c r="V110" s="68"/>
      <c r="W110" s="68"/>
      <c r="X110" s="68"/>
      <c r="Y110" s="68"/>
      <c r="Z110" s="68"/>
      <c r="AA110" s="68"/>
      <c r="AB110" s="68"/>
      <c r="AC110" s="68"/>
      <c r="AD110" s="68"/>
    </row>
    <row r="111" spans="4:30" s="73" customFormat="1" x14ac:dyDescent="0.25">
      <c r="D111" s="74"/>
      <c r="E111" s="71"/>
      <c r="F111" s="71"/>
      <c r="G111" s="71"/>
      <c r="H111" s="71"/>
      <c r="I111" s="71"/>
      <c r="J111" s="72"/>
      <c r="K111" s="71"/>
      <c r="L111" s="71"/>
      <c r="M111" s="72"/>
      <c r="N111" s="71"/>
      <c r="O111" s="71"/>
      <c r="P111" s="72"/>
      <c r="Q111" s="70"/>
      <c r="R111" s="70"/>
      <c r="S111" s="70"/>
      <c r="T111" s="178"/>
      <c r="U111" s="68"/>
      <c r="V111" s="68"/>
      <c r="W111" s="68"/>
      <c r="X111" s="68"/>
      <c r="Y111" s="68"/>
      <c r="Z111" s="68"/>
      <c r="AA111" s="68"/>
      <c r="AB111" s="68"/>
      <c r="AC111" s="68"/>
      <c r="AD111" s="68"/>
    </row>
    <row r="112" spans="4:30" s="73" customFormat="1" x14ac:dyDescent="0.25">
      <c r="D112" s="74"/>
      <c r="E112" s="71"/>
      <c r="F112" s="71"/>
      <c r="G112" s="71"/>
      <c r="H112" s="71"/>
      <c r="I112" s="71"/>
      <c r="J112" s="72"/>
      <c r="K112" s="71"/>
      <c r="L112" s="71"/>
      <c r="M112" s="72"/>
      <c r="N112" s="71"/>
      <c r="O112" s="71"/>
      <c r="P112" s="72"/>
      <c r="Q112" s="70"/>
      <c r="R112" s="70"/>
      <c r="S112" s="70"/>
      <c r="T112" s="178"/>
      <c r="U112" s="68"/>
      <c r="V112" s="68"/>
      <c r="W112" s="68"/>
      <c r="X112" s="68"/>
      <c r="Y112" s="68"/>
      <c r="Z112" s="68"/>
      <c r="AA112" s="68"/>
      <c r="AB112" s="68"/>
      <c r="AC112" s="68"/>
      <c r="AD112" s="68"/>
    </row>
    <row r="113" spans="4:30" s="73" customFormat="1" x14ac:dyDescent="0.25">
      <c r="D113" s="74"/>
      <c r="E113" s="71"/>
      <c r="F113" s="71"/>
      <c r="G113" s="71"/>
      <c r="H113" s="71"/>
      <c r="I113" s="71"/>
      <c r="J113" s="72"/>
      <c r="K113" s="71"/>
      <c r="L113" s="71"/>
      <c r="M113" s="72"/>
      <c r="N113" s="71"/>
      <c r="O113" s="71"/>
      <c r="P113" s="72"/>
      <c r="Q113" s="70"/>
      <c r="R113" s="70"/>
      <c r="S113" s="70"/>
      <c r="T113" s="178"/>
      <c r="U113" s="68"/>
      <c r="V113" s="68"/>
      <c r="W113" s="68"/>
      <c r="X113" s="68"/>
      <c r="Y113" s="68"/>
      <c r="Z113" s="68"/>
      <c r="AA113" s="68"/>
      <c r="AB113" s="68"/>
      <c r="AC113" s="68"/>
      <c r="AD113" s="68"/>
    </row>
    <row r="114" spans="4:30" s="73" customFormat="1" x14ac:dyDescent="0.25">
      <c r="D114" s="74"/>
      <c r="E114" s="71"/>
      <c r="F114" s="71"/>
      <c r="G114" s="71"/>
      <c r="H114" s="71"/>
      <c r="I114" s="71"/>
      <c r="J114" s="72"/>
      <c r="K114" s="71"/>
      <c r="L114" s="71"/>
      <c r="M114" s="72"/>
      <c r="N114" s="71"/>
      <c r="O114" s="71"/>
      <c r="P114" s="72"/>
      <c r="Q114" s="70"/>
      <c r="R114" s="70"/>
      <c r="S114" s="70"/>
      <c r="T114" s="178"/>
      <c r="U114" s="68"/>
      <c r="V114" s="68"/>
      <c r="W114" s="68"/>
      <c r="X114" s="68"/>
      <c r="Y114" s="68"/>
      <c r="Z114" s="68"/>
      <c r="AA114" s="68"/>
      <c r="AB114" s="68"/>
      <c r="AC114" s="68"/>
      <c r="AD114" s="68"/>
    </row>
    <row r="115" spans="4:30" s="73" customFormat="1" x14ac:dyDescent="0.25">
      <c r="D115" s="74"/>
      <c r="E115" s="71"/>
      <c r="F115" s="71"/>
      <c r="G115" s="71"/>
      <c r="H115" s="71"/>
      <c r="I115" s="71"/>
      <c r="J115" s="72"/>
      <c r="K115" s="71"/>
      <c r="L115" s="71"/>
      <c r="M115" s="72"/>
      <c r="N115" s="71"/>
      <c r="O115" s="71"/>
      <c r="P115" s="72"/>
      <c r="Q115" s="70"/>
      <c r="R115" s="70"/>
      <c r="S115" s="70"/>
      <c r="T115" s="178"/>
      <c r="U115" s="68"/>
      <c r="V115" s="68"/>
      <c r="W115" s="68"/>
      <c r="X115" s="68"/>
      <c r="Y115" s="68"/>
      <c r="Z115" s="68"/>
      <c r="AA115" s="68"/>
      <c r="AB115" s="68"/>
      <c r="AC115" s="68"/>
      <c r="AD115" s="68"/>
    </row>
    <row r="116" spans="4:30" s="73" customFormat="1" x14ac:dyDescent="0.25">
      <c r="D116" s="74"/>
      <c r="E116" s="71"/>
      <c r="F116" s="71"/>
      <c r="G116" s="71"/>
      <c r="H116" s="71"/>
      <c r="I116" s="71"/>
      <c r="J116" s="72"/>
      <c r="K116" s="71"/>
      <c r="L116" s="71"/>
      <c r="M116" s="72"/>
      <c r="N116" s="71"/>
      <c r="O116" s="71"/>
      <c r="P116" s="72"/>
      <c r="Q116" s="70"/>
      <c r="R116" s="70"/>
      <c r="S116" s="70"/>
      <c r="T116" s="178"/>
      <c r="U116" s="68"/>
      <c r="V116" s="68"/>
      <c r="W116" s="68"/>
      <c r="X116" s="68"/>
      <c r="Y116" s="68"/>
      <c r="Z116" s="68"/>
      <c r="AA116" s="68"/>
      <c r="AB116" s="68"/>
      <c r="AC116" s="68"/>
      <c r="AD116" s="68"/>
    </row>
    <row r="117" spans="4:30" s="73" customFormat="1" x14ac:dyDescent="0.25">
      <c r="D117" s="74"/>
      <c r="E117" s="71"/>
      <c r="F117" s="71"/>
      <c r="G117" s="71"/>
      <c r="H117" s="71"/>
      <c r="I117" s="71"/>
      <c r="J117" s="72"/>
      <c r="K117" s="71"/>
      <c r="L117" s="71"/>
      <c r="M117" s="72"/>
      <c r="N117" s="71"/>
      <c r="O117" s="71"/>
      <c r="P117" s="72"/>
      <c r="Q117" s="70"/>
      <c r="R117" s="70"/>
      <c r="S117" s="70"/>
      <c r="T117" s="178"/>
      <c r="U117" s="68"/>
      <c r="V117" s="68"/>
      <c r="W117" s="68"/>
      <c r="X117" s="68"/>
      <c r="Y117" s="68"/>
      <c r="Z117" s="68"/>
      <c r="AA117" s="68"/>
      <c r="AB117" s="68"/>
      <c r="AC117" s="68"/>
      <c r="AD117" s="68"/>
    </row>
    <row r="118" spans="4:30" s="73" customFormat="1" x14ac:dyDescent="0.25">
      <c r="D118" s="74"/>
      <c r="E118" s="71"/>
      <c r="F118" s="71"/>
      <c r="G118" s="71"/>
      <c r="H118" s="71"/>
      <c r="I118" s="71"/>
      <c r="J118" s="72"/>
      <c r="K118" s="71"/>
      <c r="L118" s="71"/>
      <c r="M118" s="72"/>
      <c r="N118" s="71"/>
      <c r="O118" s="71"/>
      <c r="P118" s="72"/>
      <c r="Q118" s="70"/>
      <c r="R118" s="70"/>
      <c r="S118" s="70"/>
      <c r="T118" s="178"/>
      <c r="U118" s="68"/>
      <c r="V118" s="68"/>
      <c r="W118" s="68"/>
      <c r="X118" s="68"/>
      <c r="Y118" s="68"/>
      <c r="Z118" s="68"/>
      <c r="AA118" s="68"/>
      <c r="AB118" s="68"/>
      <c r="AC118" s="68"/>
      <c r="AD118" s="68"/>
    </row>
    <row r="119" spans="4:30" s="73" customFormat="1" x14ac:dyDescent="0.25">
      <c r="D119" s="74"/>
      <c r="E119" s="71"/>
      <c r="F119" s="71"/>
      <c r="G119" s="71"/>
      <c r="H119" s="71"/>
      <c r="I119" s="71"/>
      <c r="J119" s="72"/>
      <c r="K119" s="71"/>
      <c r="L119" s="71"/>
      <c r="M119" s="72"/>
      <c r="N119" s="71"/>
      <c r="O119" s="71"/>
      <c r="P119" s="72"/>
      <c r="Q119" s="70"/>
      <c r="R119" s="70"/>
      <c r="S119" s="70"/>
      <c r="T119" s="178"/>
      <c r="U119" s="68"/>
      <c r="V119" s="68"/>
      <c r="W119" s="68"/>
      <c r="X119" s="68"/>
      <c r="Y119" s="68"/>
      <c r="Z119" s="68"/>
      <c r="AA119" s="68"/>
      <c r="AB119" s="68"/>
      <c r="AC119" s="68"/>
      <c r="AD119" s="68"/>
    </row>
    <row r="120" spans="4:30" s="73" customFormat="1" x14ac:dyDescent="0.25">
      <c r="D120" s="74"/>
      <c r="E120" s="71"/>
      <c r="F120" s="71"/>
      <c r="G120" s="71"/>
      <c r="H120" s="71"/>
      <c r="I120" s="71"/>
      <c r="J120" s="72"/>
      <c r="K120" s="71"/>
      <c r="L120" s="71"/>
      <c r="M120" s="72"/>
      <c r="N120" s="71"/>
      <c r="O120" s="71"/>
      <c r="P120" s="72"/>
      <c r="Q120" s="70"/>
      <c r="R120" s="70"/>
      <c r="S120" s="70"/>
      <c r="T120" s="178"/>
      <c r="U120" s="68"/>
      <c r="V120" s="68"/>
      <c r="W120" s="68"/>
      <c r="X120" s="68"/>
      <c r="Y120" s="68"/>
      <c r="Z120" s="68"/>
      <c r="AA120" s="68"/>
      <c r="AB120" s="68"/>
      <c r="AC120" s="68"/>
      <c r="AD120" s="68"/>
    </row>
    <row r="121" spans="4:30" s="73" customFormat="1" x14ac:dyDescent="0.25">
      <c r="D121" s="74"/>
      <c r="E121" s="71"/>
      <c r="F121" s="71"/>
      <c r="G121" s="71"/>
      <c r="H121" s="71"/>
      <c r="I121" s="71"/>
      <c r="J121" s="72"/>
      <c r="K121" s="71"/>
      <c r="L121" s="71"/>
      <c r="M121" s="72"/>
      <c r="N121" s="71"/>
      <c r="O121" s="71"/>
      <c r="P121" s="72"/>
      <c r="Q121" s="70"/>
      <c r="R121" s="70"/>
      <c r="S121" s="70"/>
      <c r="T121" s="178"/>
      <c r="U121" s="68"/>
      <c r="V121" s="68"/>
      <c r="W121" s="68"/>
      <c r="X121" s="68"/>
      <c r="Y121" s="68"/>
      <c r="Z121" s="68"/>
      <c r="AA121" s="68"/>
      <c r="AB121" s="68"/>
      <c r="AC121" s="68"/>
      <c r="AD121" s="68"/>
    </row>
    <row r="122" spans="4:30" s="73" customFormat="1" x14ac:dyDescent="0.25">
      <c r="D122" s="74"/>
      <c r="E122" s="71"/>
      <c r="F122" s="71"/>
      <c r="G122" s="71"/>
      <c r="H122" s="71"/>
      <c r="I122" s="71"/>
      <c r="J122" s="72"/>
      <c r="K122" s="71"/>
      <c r="L122" s="71"/>
      <c r="M122" s="72"/>
      <c r="N122" s="71"/>
      <c r="O122" s="71"/>
      <c r="P122" s="72"/>
      <c r="Q122" s="70"/>
      <c r="R122" s="70"/>
      <c r="S122" s="70"/>
      <c r="T122" s="178"/>
      <c r="U122" s="68"/>
      <c r="V122" s="68"/>
      <c r="W122" s="68"/>
      <c r="X122" s="68"/>
      <c r="Y122" s="68"/>
      <c r="Z122" s="68"/>
      <c r="AA122" s="68"/>
      <c r="AB122" s="68"/>
      <c r="AC122" s="68"/>
      <c r="AD122" s="68"/>
    </row>
    <row r="123" spans="4:30" s="73" customFormat="1" x14ac:dyDescent="0.25">
      <c r="D123" s="74"/>
      <c r="E123" s="71"/>
      <c r="F123" s="71"/>
      <c r="G123" s="71"/>
      <c r="H123" s="71"/>
      <c r="I123" s="71"/>
      <c r="J123" s="72"/>
      <c r="K123" s="71"/>
      <c r="L123" s="71"/>
      <c r="M123" s="72"/>
      <c r="N123" s="71"/>
      <c r="O123" s="71"/>
      <c r="P123" s="72"/>
      <c r="Q123" s="70"/>
      <c r="R123" s="70"/>
      <c r="S123" s="70"/>
      <c r="T123" s="178"/>
      <c r="U123" s="68"/>
      <c r="V123" s="68"/>
      <c r="W123" s="68"/>
      <c r="X123" s="68"/>
      <c r="Y123" s="68"/>
      <c r="Z123" s="68"/>
      <c r="AA123" s="68"/>
      <c r="AB123" s="68"/>
      <c r="AC123" s="68"/>
      <c r="AD123" s="68"/>
    </row>
    <row r="124" spans="4:30" s="73" customFormat="1" x14ac:dyDescent="0.25">
      <c r="D124" s="74"/>
      <c r="E124" s="71"/>
      <c r="F124" s="71"/>
      <c r="G124" s="71"/>
      <c r="H124" s="71"/>
      <c r="I124" s="71"/>
      <c r="J124" s="72"/>
      <c r="K124" s="71"/>
      <c r="L124" s="71"/>
      <c r="M124" s="72"/>
      <c r="N124" s="71"/>
      <c r="O124" s="71"/>
      <c r="P124" s="72"/>
      <c r="Q124" s="70"/>
      <c r="R124" s="70"/>
      <c r="S124" s="70"/>
      <c r="T124" s="178"/>
      <c r="U124" s="68"/>
      <c r="V124" s="68"/>
      <c r="W124" s="68"/>
      <c r="X124" s="68"/>
      <c r="Y124" s="68"/>
      <c r="Z124" s="68"/>
      <c r="AA124" s="68"/>
      <c r="AB124" s="68"/>
      <c r="AC124" s="68"/>
      <c r="AD124" s="68"/>
    </row>
    <row r="125" spans="4:30" s="73" customFormat="1" x14ac:dyDescent="0.25">
      <c r="D125" s="74"/>
      <c r="E125" s="71"/>
      <c r="F125" s="71"/>
      <c r="G125" s="71"/>
      <c r="H125" s="71"/>
      <c r="I125" s="71"/>
      <c r="J125" s="72"/>
      <c r="K125" s="71"/>
      <c r="L125" s="71"/>
      <c r="M125" s="72"/>
      <c r="N125" s="71"/>
      <c r="O125" s="71"/>
      <c r="P125" s="72"/>
      <c r="Q125" s="70"/>
      <c r="R125" s="70"/>
      <c r="S125" s="70"/>
      <c r="T125" s="178"/>
      <c r="U125" s="68"/>
      <c r="V125" s="68"/>
      <c r="W125" s="68"/>
      <c r="X125" s="68"/>
      <c r="Y125" s="68"/>
      <c r="Z125" s="68"/>
      <c r="AA125" s="68"/>
      <c r="AB125" s="68"/>
      <c r="AC125" s="68"/>
      <c r="AD125" s="68"/>
    </row>
    <row r="126" spans="4:30" s="73" customFormat="1" x14ac:dyDescent="0.25">
      <c r="D126" s="74"/>
      <c r="E126" s="71"/>
      <c r="F126" s="71"/>
      <c r="G126" s="71"/>
      <c r="H126" s="71"/>
      <c r="I126" s="71"/>
      <c r="J126" s="72"/>
      <c r="K126" s="71"/>
      <c r="L126" s="71"/>
      <c r="M126" s="72"/>
      <c r="N126" s="71"/>
      <c r="O126" s="71"/>
      <c r="P126" s="72"/>
      <c r="Q126" s="70"/>
      <c r="R126" s="70"/>
      <c r="S126" s="70"/>
      <c r="T126" s="178"/>
      <c r="U126" s="68"/>
      <c r="V126" s="68"/>
      <c r="W126" s="68"/>
      <c r="X126" s="68"/>
      <c r="Y126" s="68"/>
      <c r="Z126" s="68"/>
      <c r="AA126" s="68"/>
      <c r="AB126" s="68"/>
      <c r="AC126" s="68"/>
      <c r="AD126" s="68"/>
    </row>
    <row r="127" spans="4:30" s="73" customFormat="1" x14ac:dyDescent="0.25">
      <c r="D127" s="74"/>
      <c r="E127" s="71"/>
      <c r="F127" s="71"/>
      <c r="G127" s="71"/>
      <c r="H127" s="71"/>
      <c r="I127" s="71"/>
      <c r="J127" s="72"/>
      <c r="K127" s="71"/>
      <c r="L127" s="71"/>
      <c r="M127" s="72"/>
      <c r="N127" s="71"/>
      <c r="O127" s="71"/>
      <c r="P127" s="72"/>
      <c r="Q127" s="70"/>
      <c r="R127" s="70"/>
      <c r="S127" s="70"/>
      <c r="T127" s="178"/>
      <c r="U127" s="68"/>
      <c r="V127" s="68"/>
      <c r="W127" s="68"/>
      <c r="X127" s="68"/>
      <c r="Y127" s="68"/>
      <c r="Z127" s="68"/>
      <c r="AA127" s="68"/>
      <c r="AB127" s="68"/>
      <c r="AC127" s="68"/>
      <c r="AD127" s="68"/>
    </row>
    <row r="128" spans="4:30" s="73" customFormat="1" x14ac:dyDescent="0.25">
      <c r="D128" s="74"/>
      <c r="E128" s="71"/>
      <c r="F128" s="71"/>
      <c r="G128" s="71"/>
      <c r="H128" s="71"/>
      <c r="I128" s="71"/>
      <c r="J128" s="72"/>
      <c r="K128" s="71"/>
      <c r="L128" s="71"/>
      <c r="M128" s="72"/>
      <c r="N128" s="71"/>
      <c r="O128" s="71"/>
      <c r="P128" s="72"/>
      <c r="Q128" s="70"/>
      <c r="R128" s="70"/>
      <c r="S128" s="70"/>
      <c r="T128" s="178"/>
      <c r="U128" s="68"/>
      <c r="V128" s="68"/>
      <c r="W128" s="68"/>
      <c r="X128" s="68"/>
      <c r="Y128" s="68"/>
      <c r="Z128" s="68"/>
      <c r="AA128" s="68"/>
      <c r="AB128" s="68"/>
      <c r="AC128" s="68"/>
      <c r="AD128" s="68"/>
    </row>
    <row r="129" spans="4:30" s="73" customFormat="1" x14ac:dyDescent="0.25">
      <c r="D129" s="74"/>
      <c r="E129" s="71"/>
      <c r="F129" s="71"/>
      <c r="G129" s="71"/>
      <c r="H129" s="71"/>
      <c r="I129" s="71"/>
      <c r="J129" s="72"/>
      <c r="K129" s="71"/>
      <c r="L129" s="71"/>
      <c r="M129" s="72"/>
      <c r="N129" s="71"/>
      <c r="O129" s="71"/>
      <c r="P129" s="72"/>
      <c r="Q129" s="70"/>
      <c r="R129" s="70"/>
      <c r="S129" s="70"/>
      <c r="T129" s="178"/>
      <c r="U129" s="68"/>
      <c r="V129" s="68"/>
      <c r="W129" s="68"/>
      <c r="X129" s="68"/>
      <c r="Y129" s="68"/>
      <c r="Z129" s="68"/>
      <c r="AA129" s="68"/>
      <c r="AB129" s="68"/>
      <c r="AC129" s="68"/>
      <c r="AD129" s="68"/>
    </row>
    <row r="130" spans="4:30" s="73" customFormat="1" x14ac:dyDescent="0.25">
      <c r="D130" s="74"/>
      <c r="E130" s="71"/>
      <c r="F130" s="71"/>
      <c r="G130" s="71"/>
      <c r="H130" s="71"/>
      <c r="I130" s="71"/>
      <c r="J130" s="72"/>
      <c r="K130" s="71"/>
      <c r="L130" s="71"/>
      <c r="M130" s="72"/>
      <c r="N130" s="71"/>
      <c r="O130" s="71"/>
      <c r="P130" s="72"/>
      <c r="Q130" s="70"/>
      <c r="R130" s="70"/>
      <c r="S130" s="70"/>
      <c r="T130" s="178"/>
      <c r="U130" s="68"/>
      <c r="V130" s="68"/>
      <c r="W130" s="68"/>
      <c r="X130" s="68"/>
      <c r="Y130" s="68"/>
      <c r="Z130" s="68"/>
      <c r="AA130" s="68"/>
      <c r="AB130" s="68"/>
      <c r="AC130" s="68"/>
      <c r="AD130" s="68"/>
    </row>
    <row r="131" spans="4:30" s="73" customFormat="1" x14ac:dyDescent="0.25">
      <c r="D131" s="74"/>
      <c r="E131" s="71"/>
      <c r="F131" s="71"/>
      <c r="G131" s="71"/>
      <c r="H131" s="71"/>
      <c r="I131" s="71"/>
      <c r="J131" s="72"/>
      <c r="K131" s="71"/>
      <c r="L131" s="71"/>
      <c r="M131" s="72"/>
      <c r="N131" s="71"/>
      <c r="O131" s="71"/>
      <c r="P131" s="72"/>
      <c r="Q131" s="70"/>
      <c r="R131" s="70"/>
      <c r="S131" s="70"/>
      <c r="T131" s="178"/>
      <c r="U131" s="68"/>
      <c r="V131" s="68"/>
      <c r="W131" s="68"/>
      <c r="X131" s="68"/>
      <c r="Y131" s="68"/>
      <c r="Z131" s="68"/>
      <c r="AA131" s="68"/>
      <c r="AB131" s="68"/>
      <c r="AC131" s="68"/>
      <c r="AD131" s="68"/>
    </row>
    <row r="132" spans="4:30" s="73" customFormat="1" x14ac:dyDescent="0.25">
      <c r="D132" s="74"/>
      <c r="E132" s="71"/>
      <c r="F132" s="71"/>
      <c r="G132" s="71"/>
      <c r="H132" s="71"/>
      <c r="I132" s="71"/>
      <c r="J132" s="72"/>
      <c r="K132" s="71"/>
      <c r="L132" s="71"/>
      <c r="M132" s="72"/>
      <c r="N132" s="71"/>
      <c r="O132" s="71"/>
      <c r="P132" s="72"/>
      <c r="Q132" s="70"/>
      <c r="R132" s="70"/>
      <c r="S132" s="70"/>
      <c r="T132" s="178"/>
      <c r="U132" s="68"/>
      <c r="V132" s="68"/>
      <c r="W132" s="68"/>
      <c r="X132" s="68"/>
      <c r="Y132" s="68"/>
      <c r="Z132" s="68"/>
      <c r="AA132" s="68"/>
      <c r="AB132" s="68"/>
      <c r="AC132" s="68"/>
      <c r="AD132" s="68"/>
    </row>
    <row r="133" spans="4:30" s="73" customFormat="1" x14ac:dyDescent="0.25">
      <c r="D133" s="74"/>
      <c r="E133" s="71"/>
      <c r="F133" s="71"/>
      <c r="G133" s="71"/>
      <c r="H133" s="71"/>
      <c r="I133" s="71"/>
      <c r="J133" s="72"/>
      <c r="K133" s="71"/>
      <c r="L133" s="71"/>
      <c r="M133" s="72"/>
      <c r="N133" s="71"/>
      <c r="O133" s="71"/>
      <c r="P133" s="72"/>
      <c r="Q133" s="70"/>
      <c r="R133" s="70"/>
      <c r="S133" s="70"/>
      <c r="T133" s="178"/>
      <c r="U133" s="68"/>
      <c r="V133" s="68"/>
      <c r="W133" s="68"/>
      <c r="X133" s="68"/>
      <c r="Y133" s="68"/>
      <c r="Z133" s="68"/>
      <c r="AA133" s="68"/>
      <c r="AB133" s="68"/>
      <c r="AC133" s="68"/>
      <c r="AD133" s="68"/>
    </row>
    <row r="134" spans="4:30" s="73" customFormat="1" x14ac:dyDescent="0.25">
      <c r="D134" s="74"/>
      <c r="E134" s="71"/>
      <c r="F134" s="71"/>
      <c r="G134" s="71"/>
      <c r="H134" s="71"/>
      <c r="I134" s="71"/>
      <c r="J134" s="72"/>
      <c r="K134" s="71"/>
      <c r="L134" s="71"/>
      <c r="M134" s="72"/>
      <c r="N134" s="71"/>
      <c r="O134" s="71"/>
      <c r="P134" s="72"/>
      <c r="Q134" s="70"/>
      <c r="R134" s="70"/>
      <c r="S134" s="70"/>
      <c r="T134" s="178"/>
      <c r="U134" s="68"/>
      <c r="V134" s="68"/>
      <c r="W134" s="68"/>
      <c r="X134" s="68"/>
      <c r="Y134" s="68"/>
      <c r="Z134" s="68"/>
      <c r="AA134" s="68"/>
      <c r="AB134" s="68"/>
      <c r="AC134" s="68"/>
      <c r="AD134" s="68"/>
    </row>
    <row r="135" spans="4:30" s="73" customFormat="1" x14ac:dyDescent="0.25">
      <c r="D135" s="74"/>
      <c r="E135" s="71"/>
      <c r="F135" s="71"/>
      <c r="G135" s="71"/>
      <c r="H135" s="71"/>
      <c r="I135" s="71"/>
      <c r="J135" s="72"/>
      <c r="K135" s="71"/>
      <c r="L135" s="71"/>
      <c r="M135" s="72"/>
      <c r="N135" s="71"/>
      <c r="O135" s="71"/>
      <c r="P135" s="72"/>
      <c r="Q135" s="70"/>
      <c r="R135" s="70"/>
      <c r="S135" s="70"/>
      <c r="T135" s="178"/>
      <c r="U135" s="68"/>
      <c r="V135" s="68"/>
      <c r="W135" s="68"/>
      <c r="X135" s="68"/>
      <c r="Y135" s="68"/>
      <c r="Z135" s="68"/>
      <c r="AA135" s="68"/>
      <c r="AB135" s="68"/>
      <c r="AC135" s="68"/>
      <c r="AD135" s="68"/>
    </row>
    <row r="136" spans="4:30" s="73" customFormat="1" x14ac:dyDescent="0.25">
      <c r="D136" s="74"/>
      <c r="E136" s="71"/>
      <c r="F136" s="71"/>
      <c r="G136" s="71"/>
      <c r="H136" s="71"/>
      <c r="I136" s="71"/>
      <c r="J136" s="72"/>
      <c r="K136" s="71"/>
      <c r="L136" s="71"/>
      <c r="M136" s="72"/>
      <c r="N136" s="71"/>
      <c r="O136" s="71"/>
      <c r="P136" s="72"/>
      <c r="Q136" s="70"/>
      <c r="R136" s="70"/>
      <c r="S136" s="70"/>
      <c r="T136" s="178"/>
      <c r="U136" s="68"/>
      <c r="V136" s="68"/>
      <c r="W136" s="68"/>
      <c r="X136" s="68"/>
      <c r="Y136" s="68"/>
      <c r="Z136" s="68"/>
      <c r="AA136" s="68"/>
      <c r="AB136" s="68"/>
      <c r="AC136" s="68"/>
      <c r="AD136" s="68"/>
    </row>
    <row r="137" spans="4:30" s="73" customFormat="1" x14ac:dyDescent="0.25">
      <c r="D137" s="74"/>
      <c r="E137" s="71"/>
      <c r="F137" s="71"/>
      <c r="G137" s="71"/>
      <c r="H137" s="71"/>
      <c r="I137" s="71"/>
      <c r="J137" s="72"/>
      <c r="K137" s="71"/>
      <c r="L137" s="71"/>
      <c r="M137" s="72"/>
      <c r="N137" s="71"/>
      <c r="O137" s="71"/>
      <c r="P137" s="72"/>
      <c r="Q137" s="70"/>
      <c r="R137" s="70"/>
      <c r="S137" s="70"/>
      <c r="T137" s="178"/>
      <c r="U137" s="68"/>
      <c r="V137" s="68"/>
      <c r="W137" s="68"/>
      <c r="X137" s="68"/>
      <c r="Y137" s="68"/>
      <c r="Z137" s="68"/>
      <c r="AA137" s="68"/>
      <c r="AB137" s="68"/>
      <c r="AC137" s="68"/>
      <c r="AD137" s="68"/>
    </row>
    <row r="138" spans="4:30" s="73" customFormat="1" x14ac:dyDescent="0.25">
      <c r="D138" s="74"/>
      <c r="E138" s="71"/>
      <c r="F138" s="71"/>
      <c r="G138" s="71"/>
      <c r="H138" s="71"/>
      <c r="I138" s="71"/>
      <c r="J138" s="72"/>
      <c r="K138" s="71"/>
      <c r="L138" s="71"/>
      <c r="M138" s="72"/>
      <c r="N138" s="71"/>
      <c r="O138" s="71"/>
      <c r="P138" s="72"/>
      <c r="Q138" s="70"/>
      <c r="R138" s="70"/>
      <c r="S138" s="70"/>
      <c r="T138" s="178"/>
      <c r="U138" s="68"/>
      <c r="V138" s="68"/>
      <c r="W138" s="68"/>
      <c r="X138" s="68"/>
      <c r="Y138" s="68"/>
      <c r="Z138" s="68"/>
      <c r="AA138" s="68"/>
      <c r="AB138" s="68"/>
      <c r="AC138" s="68"/>
      <c r="AD138" s="68"/>
    </row>
    <row r="139" spans="4:30" s="73" customFormat="1" x14ac:dyDescent="0.25">
      <c r="D139" s="74"/>
      <c r="E139" s="71"/>
      <c r="F139" s="71"/>
      <c r="G139" s="71"/>
      <c r="H139" s="71"/>
      <c r="I139" s="71"/>
      <c r="J139" s="72"/>
      <c r="K139" s="71"/>
      <c r="L139" s="71"/>
      <c r="M139" s="72"/>
      <c r="N139" s="71"/>
      <c r="O139" s="71"/>
      <c r="P139" s="72"/>
      <c r="Q139" s="70"/>
      <c r="R139" s="70"/>
      <c r="S139" s="70"/>
      <c r="T139" s="178"/>
      <c r="U139" s="68"/>
      <c r="V139" s="68"/>
      <c r="W139" s="68"/>
      <c r="X139" s="68"/>
      <c r="Y139" s="68"/>
      <c r="Z139" s="68"/>
      <c r="AA139" s="68"/>
      <c r="AB139" s="68"/>
      <c r="AC139" s="68"/>
      <c r="AD139" s="68"/>
    </row>
    <row r="140" spans="4:30" s="73" customFormat="1" x14ac:dyDescent="0.25">
      <c r="D140" s="74"/>
      <c r="E140" s="71"/>
      <c r="F140" s="71"/>
      <c r="G140" s="71"/>
      <c r="H140" s="71"/>
      <c r="I140" s="71"/>
      <c r="J140" s="72"/>
      <c r="K140" s="71"/>
      <c r="L140" s="71"/>
      <c r="M140" s="72"/>
      <c r="N140" s="71"/>
      <c r="O140" s="71"/>
      <c r="P140" s="72"/>
      <c r="Q140" s="70"/>
      <c r="R140" s="70"/>
      <c r="S140" s="70"/>
      <c r="T140" s="178"/>
      <c r="U140" s="68"/>
      <c r="V140" s="68"/>
      <c r="W140" s="68"/>
      <c r="X140" s="68"/>
      <c r="Y140" s="68"/>
      <c r="Z140" s="68"/>
      <c r="AA140" s="68"/>
      <c r="AB140" s="68"/>
      <c r="AC140" s="68"/>
      <c r="AD140" s="68"/>
    </row>
    <row r="141" spans="4:30" s="73" customFormat="1" x14ac:dyDescent="0.25">
      <c r="D141" s="74"/>
      <c r="E141" s="71"/>
      <c r="F141" s="71"/>
      <c r="G141" s="71"/>
      <c r="H141" s="71"/>
      <c r="I141" s="71"/>
      <c r="J141" s="72"/>
      <c r="K141" s="71"/>
      <c r="L141" s="71"/>
      <c r="M141" s="72"/>
      <c r="N141" s="71"/>
      <c r="O141" s="71"/>
      <c r="P141" s="72"/>
      <c r="Q141" s="70"/>
      <c r="R141" s="70"/>
      <c r="S141" s="70"/>
      <c r="T141" s="178"/>
      <c r="U141" s="68"/>
      <c r="V141" s="68"/>
      <c r="W141" s="68"/>
      <c r="X141" s="68"/>
      <c r="Y141" s="68"/>
      <c r="Z141" s="68"/>
      <c r="AA141" s="68"/>
      <c r="AB141" s="68"/>
      <c r="AC141" s="68"/>
      <c r="AD141" s="68"/>
    </row>
    <row r="142" spans="4:30" s="73" customFormat="1" x14ac:dyDescent="0.25">
      <c r="D142" s="74"/>
      <c r="E142" s="71"/>
      <c r="F142" s="71"/>
      <c r="G142" s="71"/>
      <c r="H142" s="71"/>
      <c r="I142" s="71"/>
      <c r="J142" s="72"/>
      <c r="K142" s="71"/>
      <c r="L142" s="71"/>
      <c r="M142" s="72"/>
      <c r="N142" s="71"/>
      <c r="O142" s="71"/>
      <c r="P142" s="72"/>
      <c r="Q142" s="70"/>
      <c r="R142" s="70"/>
      <c r="S142" s="70"/>
      <c r="T142" s="178"/>
      <c r="U142" s="68"/>
      <c r="V142" s="68"/>
      <c r="W142" s="68"/>
      <c r="X142" s="68"/>
      <c r="Y142" s="68"/>
      <c r="Z142" s="68"/>
      <c r="AA142" s="68"/>
      <c r="AB142" s="68"/>
      <c r="AC142" s="68"/>
      <c r="AD142" s="68"/>
    </row>
    <row r="143" spans="4:30" s="73" customFormat="1" x14ac:dyDescent="0.25">
      <c r="D143" s="74"/>
      <c r="E143" s="71"/>
      <c r="F143" s="71"/>
      <c r="G143" s="71"/>
      <c r="H143" s="71"/>
      <c r="I143" s="71"/>
      <c r="J143" s="72"/>
      <c r="K143" s="71"/>
      <c r="L143" s="71"/>
      <c r="M143" s="72"/>
      <c r="N143" s="71"/>
      <c r="O143" s="71"/>
      <c r="P143" s="72"/>
      <c r="Q143" s="70"/>
      <c r="R143" s="70"/>
      <c r="S143" s="70"/>
      <c r="T143" s="178"/>
      <c r="U143" s="68"/>
      <c r="V143" s="68"/>
      <c r="W143" s="68"/>
      <c r="X143" s="68"/>
      <c r="Y143" s="68"/>
      <c r="Z143" s="68"/>
      <c r="AA143" s="68"/>
      <c r="AB143" s="68"/>
      <c r="AC143" s="68"/>
      <c r="AD143" s="68"/>
    </row>
    <row r="144" spans="4:30" s="73" customFormat="1" x14ac:dyDescent="0.25">
      <c r="D144" s="74"/>
      <c r="E144" s="71"/>
      <c r="F144" s="71"/>
      <c r="G144" s="71"/>
      <c r="H144" s="71"/>
      <c r="I144" s="71"/>
      <c r="J144" s="72"/>
      <c r="K144" s="71"/>
      <c r="L144" s="71"/>
      <c r="M144" s="72"/>
      <c r="N144" s="71"/>
      <c r="O144" s="71"/>
      <c r="P144" s="72"/>
      <c r="Q144" s="70"/>
      <c r="R144" s="70"/>
      <c r="S144" s="70"/>
      <c r="T144" s="178"/>
      <c r="U144" s="68"/>
      <c r="V144" s="68"/>
      <c r="W144" s="68"/>
      <c r="X144" s="68"/>
      <c r="Y144" s="68"/>
      <c r="Z144" s="68"/>
      <c r="AA144" s="68"/>
      <c r="AB144" s="68"/>
      <c r="AC144" s="68"/>
      <c r="AD144" s="68"/>
    </row>
    <row r="145" spans="4:30" s="73" customFormat="1" x14ac:dyDescent="0.25">
      <c r="D145" s="74"/>
      <c r="E145" s="71"/>
      <c r="F145" s="71"/>
      <c r="G145" s="71"/>
      <c r="H145" s="71"/>
      <c r="I145" s="71"/>
      <c r="J145" s="72"/>
      <c r="K145" s="71"/>
      <c r="L145" s="71"/>
      <c r="M145" s="72"/>
      <c r="N145" s="71"/>
      <c r="O145" s="71"/>
      <c r="P145" s="72"/>
      <c r="Q145" s="70"/>
      <c r="R145" s="70"/>
      <c r="S145" s="70"/>
      <c r="T145" s="178"/>
      <c r="U145" s="68"/>
      <c r="V145" s="68"/>
      <c r="W145" s="68"/>
      <c r="X145" s="68"/>
      <c r="Y145" s="68"/>
      <c r="Z145" s="68"/>
      <c r="AA145" s="68"/>
      <c r="AB145" s="68"/>
      <c r="AC145" s="68"/>
      <c r="AD145" s="68"/>
    </row>
    <row r="146" spans="4:30" s="73" customFormat="1" x14ac:dyDescent="0.25">
      <c r="D146" s="74"/>
      <c r="E146" s="71"/>
      <c r="F146" s="71"/>
      <c r="G146" s="71"/>
      <c r="H146" s="71"/>
      <c r="I146" s="71"/>
      <c r="J146" s="72"/>
      <c r="K146" s="71"/>
      <c r="L146" s="71"/>
      <c r="M146" s="72"/>
      <c r="N146" s="71"/>
      <c r="O146" s="71"/>
      <c r="P146" s="72"/>
      <c r="Q146" s="70"/>
      <c r="R146" s="70"/>
      <c r="S146" s="70"/>
      <c r="T146" s="178"/>
      <c r="U146" s="68"/>
      <c r="V146" s="68"/>
      <c r="W146" s="68"/>
      <c r="X146" s="68"/>
      <c r="Y146" s="68"/>
      <c r="Z146" s="68"/>
      <c r="AA146" s="68"/>
      <c r="AB146" s="68"/>
      <c r="AC146" s="68"/>
      <c r="AD146" s="68"/>
    </row>
  </sheetData>
  <sheetProtection sheet="1" objects="1" scenarios="1" formatColumns="0" formatRows="0"/>
  <mergeCells count="5">
    <mergeCell ref="F1:G1"/>
    <mergeCell ref="H1:J1"/>
    <mergeCell ref="K1:M1"/>
    <mergeCell ref="T1:U1"/>
    <mergeCell ref="N1:P1"/>
  </mergeCells>
  <phoneticPr fontId="6" type="noConversion"/>
  <dataValidations count="7">
    <dataValidation type="list" allowBlank="1" showInputMessage="1" showErrorMessage="1" sqref="F3:F73" xr:uid="{00000000-0002-0000-0400-000000000000}">
      <formula1>Level1agencysaving</formula1>
    </dataValidation>
    <dataValidation type="list" allowBlank="1" showInputMessage="1" showErrorMessage="1" sqref="G3:G73" xr:uid="{00000000-0002-0000-0400-000001000000}">
      <formula1>Level2agencysaving</formula1>
    </dataValidation>
    <dataValidation type="list" allowBlank="1" showInputMessage="1" showErrorMessage="1" sqref="E3:E73" xr:uid="{00000000-0002-0000-0400-000002000000}">
      <formula1>Unit</formula1>
    </dataValidation>
    <dataValidation type="list" allowBlank="1" showInputMessage="1" showErrorMessage="1" sqref="B3:B73" xr:uid="{00000000-0002-0000-0400-000003000000}">
      <formula1>Outcomedetail</formula1>
    </dataValidation>
    <dataValidation type="list" allowBlank="1" showInputMessage="1" showErrorMessage="1" sqref="O3:O73 L3:L73 I3:I73" xr:uid="{00000000-0002-0000-0400-000007000000}">
      <formula1>Year</formula1>
    </dataValidation>
    <dataValidation type="list" allowBlank="1" showInputMessage="1" showErrorMessage="1" sqref="A3:A73" xr:uid="{00000000-0002-0000-0400-000008000000}">
      <formula1>Outcomecategory</formula1>
    </dataValidation>
    <dataValidation type="list" allowBlank="1" showInputMessage="1" showErrorMessage="1" sqref="T3:T73" xr:uid="{F7A73599-3C89-4818-ABA8-8FB6B83C7647}">
      <formula1>Update</formula1>
    </dataValidation>
  </dataValidations>
  <hyperlinks>
    <hyperlink ref="Q58" r:id="rId1" xr:uid="{9CF67B93-2134-4007-AC20-3BEAF6D08743}"/>
    <hyperlink ref="Q52" r:id="rId2" xr:uid="{72FD9412-5787-4E8A-A71F-EF90CAF550DE}"/>
    <hyperlink ref="Q55" r:id="rId3" xr:uid="{F96333B3-0570-447D-BA23-3D968573B4F2}"/>
    <hyperlink ref="Q45" r:id="rId4" display="Disability Living Allowance (DLA) for Adults (GOV.UK, January 2015)" xr:uid="{D08A46FF-35CE-4813-B513-EF9D5DB3220D}"/>
    <hyperlink ref="Q17" r:id="rId5" xr:uid="{DE5CB90A-F474-43AB-B534-7C8C7BA46CC7}"/>
    <hyperlink ref="Q36" r:id="rId6" xr:uid="{CAA53F2B-F9E6-497B-BE77-E774907F7EFC}"/>
    <hyperlink ref="Q6" r:id="rId7" xr:uid="{2FDD09BB-CA85-4E6A-A1DD-758EC5A9607B}"/>
    <hyperlink ref="Q16" r:id="rId8" xr:uid="{2CF69861-484C-41AC-B2B0-CBEFEB52854B}"/>
    <hyperlink ref="Q26" r:id="rId9" xr:uid="{D895603B-4759-486D-971F-98F75557ABD0}"/>
    <hyperlink ref="Q59" r:id="rId10" xr:uid="{43467677-355E-461C-87DA-FF573CF7D1D7}"/>
    <hyperlink ref="Q60" r:id="rId11" xr:uid="{46DFCD5D-BAEE-48C7-B952-62AA4867C076}"/>
    <hyperlink ref="Q61" r:id="rId12" xr:uid="{69AE6A31-FB3C-4E8A-A876-B0F361BB2BB2}"/>
    <hyperlink ref="Q62" r:id="rId13" xr:uid="{6067AC1B-F3F9-4411-844B-7E76DF5CEBBF}"/>
    <hyperlink ref="Q63" r:id="rId14" xr:uid="{9163B8BD-ACA3-40AC-9731-A06762E4845B}"/>
    <hyperlink ref="Q64" r:id="rId15" xr:uid="{5AAB54DC-E1A8-4798-A63F-D608760426FE}"/>
    <hyperlink ref="Q65" r:id="rId16" xr:uid="{23E17DFE-ED16-4070-8CD6-9211C0006788}"/>
    <hyperlink ref="Q66" r:id="rId17" xr:uid="{5EC4C9C9-2C7A-4B48-BD80-3B76B6D8FBEA}"/>
    <hyperlink ref="Q67" r:id="rId18" xr:uid="{147FC0DF-4505-45C7-82C0-E99FBEB9FA00}"/>
    <hyperlink ref="Q69" r:id="rId19" xr:uid="{87D227D3-2D04-4E82-B9D8-9D5668FDA0EB}"/>
    <hyperlink ref="Q70" r:id="rId20" xr:uid="{6BFEAB46-2FA1-4585-9E0C-D0906C5847B6}"/>
    <hyperlink ref="Q71" r:id="rId21" xr:uid="{51D387E9-EE51-4F32-AA9C-E720AAD4D4EC}"/>
    <hyperlink ref="Q7" r:id="rId22" display="Job-Seekers Allowance (GOV.UK, April 2019)" xr:uid="{355BDE42-E03E-4B47-AC5D-76E099B56CDF}"/>
    <hyperlink ref="Q8" r:id="rId23" display="Job-Seekers Allowance (GOV.UK, April 2019)" xr:uid="{AFCA41BE-4A1F-44CA-A98D-5B9D03362045}"/>
    <hyperlink ref="Q27" r:id="rId24" display="Income Support (GOV.UK, January 2015)" xr:uid="{E8848A28-00BE-4596-BFE9-2B059EF4DBE0}"/>
    <hyperlink ref="Q40" r:id="rId25" xr:uid="{255A1B08-756D-415E-BE0E-41E41CC25F61}"/>
    <hyperlink ref="Q9" r:id="rId26" display="Transactions Explorer, GOV.UK (2014) [note that the data file is no longer available; the link takes you to an archived government website where data may be available on this and related areas]" xr:uid="{F873B6C3-4D36-4B2B-A255-00C44A5DCF4C}"/>
    <hyperlink ref="Q18" r:id="rId27" xr:uid="{AD627959-3630-4340-AF31-85DE2AEFF03A}"/>
    <hyperlink ref="Q19" r:id="rId28" xr:uid="{513929F2-D7BD-448B-8FD2-0E6C1C3BCD92}"/>
    <hyperlink ref="Q20" r:id="rId29" xr:uid="{C738D180-811D-4B78-98D1-BB444BBB4D40}"/>
    <hyperlink ref="Q37" r:id="rId30" xr:uid="{BD0BFDB9-5B8C-4BA4-8B99-37551A1846C4}"/>
    <hyperlink ref="Q38" r:id="rId31" xr:uid="{2AF654E7-126A-4CB8-9E9E-5EBF23C2229E}"/>
    <hyperlink ref="Q39" r:id="rId32" xr:uid="{313EDF6F-5886-4366-98D4-8ECC0979F24A}"/>
    <hyperlink ref="Q41:Q44" r:id="rId33" display="Disability Living Allowance (DLA) for Children (GOV.UK, June 2022)" xr:uid="{E72F9D84-2131-4481-8A63-B3ECD3D42CD6}"/>
    <hyperlink ref="Q53" r:id="rId34" xr:uid="{2B927C96-F604-4ABF-908E-F5239DEB0F93}"/>
    <hyperlink ref="Q46" r:id="rId35" display="Disability Living Allowance (DLA) for Adults (GOV.UK, January 2015)" xr:uid="{6F0140E5-21B2-4268-B244-93C080C3C9F8}"/>
    <hyperlink ref="Q47" r:id="rId36" display="Disability Living Allowance (DLA) for Adults (GOV.UK, January 2015)" xr:uid="{4D976FAD-4232-4D5E-B337-335B57DF43C9}"/>
    <hyperlink ref="Q48" r:id="rId37" display="Disability Living Allowance (DLA) for Adults (GOV.UK, January 2015)" xr:uid="{7887AB39-069D-44B4-8136-2F08E8FB3CE8}"/>
    <hyperlink ref="Q49" r:id="rId38" display="Disability Living Allowance (DLA) for Adults (GOV.UK, January 2015)" xr:uid="{EBC0417F-B258-4855-8058-C62667E8DBD1}"/>
    <hyperlink ref="Q28" r:id="rId39" display="Income Support (GOV.UK, January 2015)" xr:uid="{728D434B-A5C2-458C-BEB9-39E555D31B79}"/>
    <hyperlink ref="Q29" r:id="rId40" display="Income Support (GOV.UK, January 2015)" xr:uid="{51472EB5-3916-4808-9988-CCC93C14FC55}"/>
    <hyperlink ref="Q30" r:id="rId41" display="Income Support (GOV.UK, January 2015)" xr:uid="{B1D67D78-7B5B-4753-9BF3-CD8F7AAAEC8C}"/>
    <hyperlink ref="Q31" r:id="rId42" display="Income Support (GOV.UK, January 2015)" xr:uid="{989F0375-B066-4800-A3A7-6BC9EE665C26}"/>
    <hyperlink ref="Q32" r:id="rId43" display="Income Support (GOV.UK, January 2015)" xr:uid="{4E86D460-9D6F-496A-97FF-7A69B6025D7A}"/>
    <hyperlink ref="Q33" r:id="rId44" display="Income Support (GOV.UK, January 2015)" xr:uid="{B25E128E-044D-4305-ADCA-CBD85DDD861C}"/>
    <hyperlink ref="Q34" r:id="rId45" display="Income Support (GOV.UK, January 2015)" xr:uid="{EF6E3001-AEA5-4A97-AE8A-B3BBFE67DA99}"/>
    <hyperlink ref="Q10" r:id="rId46" display="Transactions Explorer, GOV.UK (2014) [note that the data file is no longer available; the link takes you to an archived government website where data may be available on this and related areas]" xr:uid="{6BDEF073-FDC8-488C-A792-FA8466F23490}"/>
    <hyperlink ref="Q11" r:id="rId47" display="Transactions Explorer, GOV.UK (2014) [note that the data file is no longer available; the link takes you to an archived government website where data may be available on this and related areas]" xr:uid="{4C1FB258-4862-48B2-8E56-64C4AF2CFF35}"/>
    <hyperlink ref="Q12" r:id="rId48" display="Transactions Explorer, GOV.UK (2014) [note that the data file is no longer available; the link takes you to an archived government website where data may be available on this and related areas]" xr:uid="{3B400E53-B2D9-4625-BD1F-31B32089FDFA}"/>
    <hyperlink ref="Q21" r:id="rId49" display="Transactions Explorer, GOV.UK (2014) [note that the data file is no longer available; the link takes you to an archived government website where data may be available on this and related areas]" xr:uid="{331F3F12-725C-45A8-8B1C-CFB456215300}"/>
    <hyperlink ref="Q22" r:id="rId50" display="Transactions Explorer, GOV.UK (2014) [note that the data file is no longer available; the link takes you to an archived government website where data may be available on this and related areas]" xr:uid="{D2253ED3-C06D-4B48-B827-ED73DA5A4A26}"/>
    <hyperlink ref="Q35" r:id="rId51" display="Transactions Explorer, GOV.UK (2014) [note that the data file is no longer available; the link takes you to an archived government website where data may be available on this and related areas]" xr:uid="{9C69A312-ED3F-475C-BB26-E9BC1D15BB7F}"/>
    <hyperlink ref="Q50" r:id="rId52" display="Transactions Explorer, GOV.UK (2014) [note that the data file is no longer available; the link takes you to an archived government website where data may be available on this and related areas]" xr:uid="{06E02616-C3FB-4736-B69C-CBE12EDEA15C}"/>
    <hyperlink ref="Q51" r:id="rId53" display="Transactions Explorer, GOV.UK (2014) [note that the data file is no longer available; the link takes you to an archived government website where data may be available on this and related areas]" xr:uid="{0E185271-94A4-4C7C-9DCA-4B8EFE180857}"/>
    <hyperlink ref="Q54" r:id="rId54" display="Transactions Explorer, GOV.UK (2014) [note that the data file is no longer available; the link takes you to an archived government website where data may be available on this and related areas]" xr:uid="{3AA98352-3D1E-4B3F-B381-9DA9893AE494}"/>
    <hyperlink ref="Q56" r:id="rId55" display="Transactions Explorer, GOV.UK (2014) [note that the data file is no longer available; the link takes you to an archived government website where data may be available on this and related areas]" xr:uid="{C2B7EB52-7FB2-462C-8C91-5512FB435A95}"/>
    <hyperlink ref="Q57" r:id="rId56" display="Transactions Explorer, GOV.UK (2014) [note that the data file is no longer available; the link takes you to an archived government website where data may be available on this and related areas]" xr:uid="{B5E87048-7996-455E-A1CF-6F93C31D9BBE}"/>
  </hyperlinks>
  <pageMargins left="0.74803149606299213" right="0.74803149606299213" top="0.98425196850393704" bottom="0.98425196850393704" header="0.51181102362204722" footer="0.51181102362204722"/>
  <pageSetup paperSize="8" scale="44" orientation="landscape" r:id="rId57"/>
  <headerFooter alignWithMargins="0"/>
  <legacyDrawing r:id="rId58"/>
  <extLst>
    <ext xmlns:x14="http://schemas.microsoft.com/office/spreadsheetml/2009/9/main" uri="{78C0D931-6437-407d-A8EE-F0AAD7539E65}">
      <x14:conditionalFormattings>
        <x14:conditionalFormatting xmlns:xm="http://schemas.microsoft.com/office/excel/2006/main">
          <x14:cfRule type="cellIs" priority="7" operator="between" id="{94B9B692-B8F3-4E02-8F5C-A651A0943583}">
            <xm:f>Lookups!$T$10</xm:f>
            <xm:f>Lookups!$T$30</xm:f>
            <x14:dxf>
              <font>
                <color auto="1"/>
              </font>
              <fill>
                <patternFill>
                  <bgColor rgb="FFFF0000"/>
                </patternFill>
              </fill>
            </x14:dxf>
          </x14:cfRule>
          <x14:cfRule type="cellIs" priority="8" operator="between" id="{38DE195F-2607-4FC6-8B9B-C8F892CB6D53}">
            <xm:f>Lookups!$T$31</xm:f>
            <xm:f>Lookups!$T$35</xm:f>
            <x14:dxf>
              <fill>
                <patternFill>
                  <bgColor rgb="FFFFC000"/>
                </patternFill>
              </fill>
            </x14:dxf>
          </x14:cfRule>
          <x14:cfRule type="cellIs" priority="9" operator="between" id="{90C0C424-AAAC-4BD1-AE5D-4D03A9BC74A0}">
            <xm:f>Lookups!$T$36</xm:f>
            <xm:f>Lookups!$T$40</xm:f>
            <x14:dxf>
              <fill>
                <patternFill>
                  <bgColor rgb="FF92D050"/>
                </patternFill>
              </fill>
            </x14:dxf>
          </x14:cfRule>
          <xm:sqref>L3:L73 O3:O73 I3:I73</xm:sqref>
        </x14:conditionalFormatting>
        <x14:conditionalFormatting xmlns:xm="http://schemas.microsoft.com/office/excel/2006/main">
          <x14:cfRule type="cellIs" priority="1" operator="equal" id="{2870B13E-AADE-4DA8-9E9D-F9BCA0AB2445}">
            <xm:f>Lookups!$V$12</xm:f>
            <x14:dxf>
              <fill>
                <patternFill>
                  <bgColor rgb="FF92D050"/>
                </patternFill>
              </fill>
            </x14:dxf>
          </x14:cfRule>
          <x14:cfRule type="cellIs" priority="2" operator="equal" id="{C5358FDD-BDF5-4760-8520-FCE64CB5DEE2}">
            <xm:f>Lookups!$V$11</xm:f>
            <x14:dxf>
              <fill>
                <patternFill>
                  <bgColor rgb="FFFFC000"/>
                </patternFill>
              </fill>
            </x14:dxf>
          </x14:cfRule>
          <x14:cfRule type="cellIs" priority="3" operator="equal" id="{A2414DE4-681E-40CF-A571-A1FC79C53DAD}">
            <xm:f>Lookups!$V$10</xm:f>
            <x14:dxf>
              <fill>
                <patternFill>
                  <bgColor rgb="FFFF0000"/>
                </patternFill>
              </fill>
            </x14:dxf>
          </x14:cfRule>
          <xm:sqref>R3:R73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DA85-92D7-4A8C-BE0A-B5F373CCB301}">
  <sheetPr>
    <tabColor rgb="FF00B050"/>
    <outlinePr summaryBelow="0" summaryRight="0"/>
  </sheetPr>
  <dimension ref="A1:MA116"/>
  <sheetViews>
    <sheetView showGridLines="0" zoomScale="90" zoomScaleNormal="90" workbookViewId="0">
      <pane xSplit="4" ySplit="2" topLeftCell="E3" activePane="bottomRight" state="frozen"/>
      <selection activeCell="J3" sqref="J3"/>
      <selection pane="topRight" activeCell="J3" sqref="J3"/>
      <selection pane="bottomLeft" activeCell="J3" sqref="J3"/>
      <selection pane="bottomRight" activeCell="A3" sqref="A3"/>
    </sheetView>
  </sheetViews>
  <sheetFormatPr defaultColWidth="8.69921875" defaultRowHeight="13.2" outlineLevelRow="2" x14ac:dyDescent="0.25"/>
  <cols>
    <col min="1" max="1" width="13.69921875" style="233" customWidth="1" collapsed="1"/>
    <col min="2" max="2" width="14.09765625" style="233" customWidth="1"/>
    <col min="3" max="3" width="7.69921875" style="233" customWidth="1"/>
    <col min="4" max="4" width="43.19921875" style="246" customWidth="1"/>
    <col min="5" max="5" width="15.8984375" style="233" customWidth="1"/>
    <col min="6" max="6" width="16" style="233" customWidth="1"/>
    <col min="7" max="7" width="15.69921875" style="233" customWidth="1"/>
    <col min="8" max="8" width="12.5" style="233" bestFit="1" customWidth="1"/>
    <col min="9" max="9" width="10" style="233" customWidth="1"/>
    <col min="10" max="11" width="12.5" style="233" bestFit="1" customWidth="1"/>
    <col min="12" max="12" width="10" style="233" customWidth="1"/>
    <col min="13" max="14" width="12.5" style="233" bestFit="1" customWidth="1"/>
    <col min="15" max="15" width="10" style="233" customWidth="1"/>
    <col min="16" max="16" width="12.5" style="233" bestFit="1" customWidth="1"/>
    <col min="17" max="17" width="46.09765625" style="233" customWidth="1"/>
    <col min="18" max="18" width="12.5" style="233" customWidth="1"/>
    <col min="19" max="19" width="78.19921875" style="233" customWidth="1" collapsed="1"/>
    <col min="20" max="20" width="10.09765625" style="240" customWidth="1"/>
    <col min="21" max="21" width="20.69921875" style="233" customWidth="1"/>
    <col min="22" max="16384" width="8.69921875" style="233"/>
  </cols>
  <sheetData>
    <row r="1" spans="1:339" ht="31.5"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row>
    <row r="2" spans="1:339" s="47" customFormat="1" ht="30" customHeight="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c r="DJ2" s="233"/>
      <c r="DK2" s="233"/>
      <c r="DL2" s="233"/>
      <c r="DM2" s="233"/>
      <c r="DN2" s="233"/>
      <c r="DO2" s="233"/>
      <c r="DP2" s="233"/>
      <c r="DQ2" s="233"/>
      <c r="DR2" s="233"/>
      <c r="DS2" s="233"/>
      <c r="DT2" s="233"/>
      <c r="DU2" s="233"/>
      <c r="DV2" s="233"/>
      <c r="DW2" s="233"/>
      <c r="DX2" s="233"/>
      <c r="DY2" s="233"/>
      <c r="DZ2" s="233"/>
      <c r="EA2" s="233"/>
      <c r="EB2" s="233"/>
      <c r="EC2" s="233"/>
      <c r="ED2" s="233"/>
      <c r="EE2" s="233"/>
      <c r="EF2" s="233"/>
      <c r="EG2" s="233"/>
      <c r="EH2" s="233"/>
      <c r="EI2" s="233"/>
      <c r="EJ2" s="233"/>
      <c r="EK2" s="233"/>
      <c r="EL2" s="233"/>
      <c r="EM2" s="233"/>
      <c r="EN2" s="233"/>
      <c r="EO2" s="233"/>
      <c r="EP2" s="233"/>
      <c r="EQ2" s="233"/>
      <c r="ER2" s="233"/>
      <c r="ES2" s="233"/>
      <c r="ET2" s="233"/>
      <c r="EU2" s="233"/>
      <c r="EV2" s="233"/>
      <c r="EW2" s="233"/>
      <c r="EX2" s="233"/>
      <c r="EY2" s="233"/>
      <c r="EZ2" s="233"/>
      <c r="FA2" s="233"/>
      <c r="FB2" s="233"/>
      <c r="FC2" s="233"/>
      <c r="FD2" s="233"/>
      <c r="FE2" s="233"/>
      <c r="FF2" s="233"/>
      <c r="FG2" s="233"/>
      <c r="FH2" s="233"/>
      <c r="FI2" s="233"/>
      <c r="FJ2" s="233"/>
      <c r="FK2" s="233"/>
      <c r="FL2" s="233"/>
      <c r="FM2" s="233"/>
      <c r="FN2" s="233"/>
      <c r="FO2" s="233"/>
      <c r="FP2" s="233"/>
      <c r="FQ2" s="233"/>
      <c r="FR2" s="233"/>
      <c r="FS2" s="233"/>
      <c r="FT2" s="233"/>
      <c r="FU2" s="233"/>
      <c r="FV2" s="233"/>
      <c r="FW2" s="233"/>
      <c r="FX2" s="233"/>
      <c r="FY2" s="233"/>
      <c r="FZ2" s="233"/>
      <c r="GA2" s="233"/>
      <c r="GB2" s="233"/>
      <c r="GC2" s="233"/>
      <c r="GD2" s="233"/>
      <c r="GE2" s="233"/>
      <c r="GF2" s="233"/>
      <c r="GG2" s="233"/>
      <c r="GH2" s="233"/>
      <c r="GI2" s="233"/>
      <c r="GJ2" s="233"/>
      <c r="GK2" s="233"/>
      <c r="GL2" s="233"/>
      <c r="GM2" s="233"/>
      <c r="GN2" s="233"/>
      <c r="GO2" s="233"/>
      <c r="GP2" s="233"/>
      <c r="GQ2" s="233"/>
      <c r="GR2" s="233"/>
      <c r="GS2" s="233"/>
      <c r="GT2" s="233"/>
      <c r="GU2" s="233"/>
      <c r="GV2" s="233"/>
      <c r="GW2" s="233"/>
      <c r="GX2" s="233"/>
      <c r="GY2" s="233"/>
      <c r="GZ2" s="233"/>
      <c r="HA2" s="233"/>
      <c r="HB2" s="233"/>
      <c r="HC2" s="233"/>
      <c r="HD2" s="233"/>
      <c r="HE2" s="233"/>
      <c r="HF2" s="233"/>
      <c r="HG2" s="233"/>
      <c r="HH2" s="233"/>
      <c r="HI2" s="233"/>
      <c r="HJ2" s="233"/>
      <c r="HK2" s="233"/>
      <c r="HL2" s="233"/>
      <c r="HM2" s="233"/>
      <c r="HN2" s="233"/>
      <c r="HO2" s="233"/>
      <c r="HP2" s="233"/>
      <c r="HQ2" s="233"/>
      <c r="HR2" s="233"/>
      <c r="HS2" s="233"/>
      <c r="HT2" s="233"/>
      <c r="HU2" s="233"/>
      <c r="HV2" s="233"/>
      <c r="HW2" s="233"/>
      <c r="HX2" s="233"/>
      <c r="HY2" s="233"/>
      <c r="HZ2" s="233"/>
      <c r="IA2" s="233"/>
      <c r="IB2" s="233"/>
      <c r="IC2" s="233"/>
      <c r="ID2" s="233"/>
      <c r="IE2" s="233"/>
      <c r="IF2" s="233"/>
      <c r="IG2" s="233"/>
      <c r="IH2" s="233"/>
      <c r="II2" s="233"/>
      <c r="IJ2" s="233"/>
      <c r="IK2" s="233"/>
      <c r="IL2" s="233"/>
      <c r="IM2" s="233"/>
      <c r="IN2" s="233"/>
      <c r="IO2" s="233"/>
      <c r="IP2" s="233"/>
      <c r="IQ2" s="233"/>
      <c r="IR2" s="233"/>
      <c r="IS2" s="233"/>
      <c r="IT2" s="233"/>
      <c r="IU2" s="233"/>
      <c r="IV2" s="233"/>
      <c r="IW2" s="233"/>
      <c r="IX2" s="233"/>
      <c r="IY2" s="233"/>
      <c r="IZ2" s="233"/>
      <c r="JA2" s="233"/>
      <c r="JB2" s="233"/>
      <c r="JC2" s="233"/>
      <c r="JD2" s="233"/>
      <c r="JE2" s="233"/>
      <c r="JF2" s="233"/>
      <c r="JG2" s="233"/>
      <c r="JH2" s="233"/>
      <c r="JI2" s="233"/>
      <c r="JJ2" s="233"/>
      <c r="JK2" s="233"/>
      <c r="JL2" s="233"/>
      <c r="JM2" s="233"/>
      <c r="JN2" s="233"/>
      <c r="JO2" s="233"/>
      <c r="JP2" s="233"/>
      <c r="JQ2" s="233"/>
      <c r="JR2" s="233"/>
      <c r="JS2" s="233"/>
      <c r="JT2" s="233"/>
      <c r="JU2" s="233"/>
      <c r="JV2" s="233"/>
      <c r="JW2" s="233"/>
      <c r="JX2" s="233"/>
      <c r="JY2" s="233"/>
      <c r="JZ2" s="233"/>
      <c r="KA2" s="233"/>
      <c r="KB2" s="233"/>
      <c r="KC2" s="233"/>
      <c r="KD2" s="233"/>
      <c r="KE2" s="233"/>
      <c r="KF2" s="233"/>
      <c r="KG2" s="233"/>
      <c r="KH2" s="233"/>
      <c r="KI2" s="233"/>
      <c r="KJ2" s="233"/>
      <c r="KK2" s="233"/>
      <c r="KL2" s="233"/>
      <c r="KM2" s="233"/>
      <c r="KN2" s="233"/>
      <c r="KO2" s="233"/>
      <c r="KP2" s="233"/>
      <c r="KQ2" s="233"/>
      <c r="KR2" s="233"/>
      <c r="KS2" s="233"/>
      <c r="KT2" s="233"/>
      <c r="KU2" s="233"/>
      <c r="KV2" s="233"/>
      <c r="KW2" s="233"/>
      <c r="KX2" s="233"/>
      <c r="KY2" s="233"/>
      <c r="KZ2" s="233"/>
      <c r="LA2" s="233"/>
      <c r="LB2" s="233"/>
      <c r="LC2" s="233"/>
      <c r="LD2" s="233"/>
      <c r="LE2" s="233"/>
      <c r="LF2" s="233"/>
      <c r="LG2" s="233"/>
      <c r="LH2" s="233"/>
      <c r="LI2" s="233"/>
      <c r="LJ2" s="233"/>
      <c r="LK2" s="233"/>
      <c r="LL2" s="233"/>
      <c r="LM2" s="233"/>
      <c r="LN2" s="233"/>
      <c r="LO2" s="233"/>
      <c r="LP2" s="233"/>
      <c r="LQ2" s="233"/>
      <c r="LR2" s="233"/>
      <c r="LS2" s="233"/>
      <c r="LT2" s="233"/>
      <c r="LU2" s="233"/>
      <c r="LV2" s="233"/>
      <c r="LW2" s="233"/>
      <c r="LX2" s="233"/>
      <c r="LY2" s="233"/>
      <c r="LZ2" s="233"/>
      <c r="MA2" s="233"/>
    </row>
    <row r="3" spans="1:339" s="56" customFormat="1" ht="60" customHeight="1" x14ac:dyDescent="0.25">
      <c r="A3" s="40" t="s">
        <v>1304</v>
      </c>
      <c r="B3" s="40" t="s">
        <v>1324</v>
      </c>
      <c r="C3" s="48" t="s">
        <v>1306</v>
      </c>
      <c r="D3" s="40" t="s">
        <v>2373</v>
      </c>
      <c r="E3" s="164" t="s">
        <v>2124</v>
      </c>
      <c r="F3" s="90" t="s">
        <v>212</v>
      </c>
      <c r="G3" s="90"/>
      <c r="H3" s="77"/>
      <c r="I3" s="15"/>
      <c r="J3" s="111" t="str">
        <f>IF(H3&gt;0,(H3*VLOOKUP(Lookups!$K$11,Lookups!$M$10:$P$43,4,0)/VLOOKUP(I3,Lookups!$M$10:$P$43,4,0)),"")</f>
        <v/>
      </c>
      <c r="K3" s="198">
        <v>248</v>
      </c>
      <c r="L3" s="15" t="s">
        <v>1522</v>
      </c>
      <c r="M3" s="111">
        <f>IF(K3&gt;0,(K3*VLOOKUP(Lookups!$K$11,Lookups!$M$10:$P$43,4,0)/VLOOKUP(L3,Lookups!$M$10:$P$43,4,0)),"")</f>
        <v>248</v>
      </c>
      <c r="N3" s="165"/>
      <c r="O3" s="15"/>
      <c r="P3" s="17" t="str">
        <f>IF(N3&gt;0,(N3*VLOOKUP(Lookups!$K$11,Lookups!$M$10:$P$43,4,0)/VLOOKUP(O3,Lookups!$M$10:$P$43,4,0)),"")</f>
        <v/>
      </c>
      <c r="Q3" s="234" t="s">
        <v>2374</v>
      </c>
      <c r="R3" s="15" t="s">
        <v>154</v>
      </c>
      <c r="S3" s="49" t="s">
        <v>2387</v>
      </c>
      <c r="T3" s="15" t="s">
        <v>923</v>
      </c>
      <c r="U3" s="90" t="s">
        <v>3117</v>
      </c>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c r="EO3" s="233"/>
      <c r="EP3" s="233"/>
      <c r="EQ3" s="233"/>
      <c r="ER3" s="233"/>
      <c r="ES3" s="233"/>
      <c r="ET3" s="233"/>
      <c r="EU3" s="233"/>
      <c r="EV3" s="233"/>
      <c r="EW3" s="233"/>
      <c r="EX3" s="233"/>
      <c r="EY3" s="233"/>
      <c r="EZ3" s="233"/>
      <c r="FA3" s="233"/>
      <c r="FB3" s="233"/>
      <c r="FC3" s="233"/>
      <c r="FD3" s="233"/>
      <c r="FE3" s="233"/>
      <c r="FF3" s="233"/>
      <c r="FG3" s="233"/>
      <c r="FH3" s="233"/>
      <c r="FI3" s="233"/>
      <c r="FJ3" s="233"/>
      <c r="FK3" s="233"/>
      <c r="FL3" s="233"/>
      <c r="FM3" s="233"/>
      <c r="FN3" s="233"/>
      <c r="FO3" s="233"/>
      <c r="FP3" s="233"/>
      <c r="FQ3" s="233"/>
      <c r="FR3" s="233"/>
      <c r="FS3" s="233"/>
      <c r="FT3" s="233"/>
      <c r="FU3" s="233"/>
      <c r="FV3" s="233"/>
      <c r="FW3" s="233"/>
      <c r="FX3" s="233"/>
      <c r="FY3" s="233"/>
      <c r="FZ3" s="233"/>
      <c r="GA3" s="233"/>
      <c r="GB3" s="233"/>
      <c r="GC3" s="233"/>
      <c r="GD3" s="233"/>
      <c r="GE3" s="233"/>
      <c r="GF3" s="233"/>
      <c r="GG3" s="233"/>
      <c r="GH3" s="233"/>
      <c r="GI3" s="233"/>
      <c r="GJ3" s="233"/>
      <c r="GK3" s="233"/>
      <c r="GL3" s="233"/>
      <c r="GM3" s="233"/>
      <c r="GN3" s="233"/>
      <c r="GO3" s="233"/>
      <c r="GP3" s="233"/>
      <c r="GQ3" s="233"/>
      <c r="GR3" s="233"/>
      <c r="GS3" s="233"/>
      <c r="GT3" s="233"/>
      <c r="GU3" s="233"/>
      <c r="GV3" s="233"/>
      <c r="GW3" s="233"/>
      <c r="GX3" s="233"/>
      <c r="GY3" s="233"/>
      <c r="GZ3" s="233"/>
      <c r="HA3" s="233"/>
      <c r="HB3" s="233"/>
      <c r="HC3" s="233"/>
      <c r="HD3" s="233"/>
      <c r="HE3" s="233"/>
      <c r="HF3" s="233"/>
      <c r="HG3" s="233"/>
      <c r="HH3" s="233"/>
      <c r="HI3" s="233"/>
      <c r="HJ3" s="233"/>
      <c r="HK3" s="233"/>
      <c r="HL3" s="233"/>
      <c r="HM3" s="233"/>
      <c r="HN3" s="233"/>
      <c r="HO3" s="233"/>
      <c r="HP3" s="233"/>
      <c r="HQ3" s="233"/>
      <c r="HR3" s="233"/>
      <c r="HS3" s="233"/>
      <c r="HT3" s="233"/>
      <c r="HU3" s="233"/>
      <c r="HV3" s="233"/>
      <c r="HW3" s="233"/>
      <c r="HX3" s="233"/>
      <c r="HY3" s="233"/>
      <c r="HZ3" s="233"/>
      <c r="IA3" s="233"/>
      <c r="IB3" s="233"/>
      <c r="IC3" s="233"/>
      <c r="ID3" s="233"/>
      <c r="IE3" s="233"/>
      <c r="IF3" s="233"/>
      <c r="IG3" s="233"/>
      <c r="IH3" s="233"/>
      <c r="II3" s="233"/>
      <c r="IJ3" s="233"/>
      <c r="IK3" s="233"/>
      <c r="IL3" s="233"/>
      <c r="IM3" s="233"/>
      <c r="IN3" s="233"/>
      <c r="IO3" s="233"/>
      <c r="IP3" s="233"/>
      <c r="IQ3" s="233"/>
      <c r="IR3" s="233"/>
      <c r="IS3" s="233"/>
      <c r="IT3" s="233"/>
      <c r="IU3" s="233"/>
      <c r="IV3" s="233"/>
      <c r="IW3" s="233"/>
      <c r="IX3" s="233"/>
      <c r="IY3" s="233"/>
      <c r="IZ3" s="233"/>
      <c r="JA3" s="233"/>
      <c r="JB3" s="233"/>
      <c r="JC3" s="233"/>
      <c r="JD3" s="233"/>
      <c r="JE3" s="233"/>
      <c r="JF3" s="233"/>
      <c r="JG3" s="233"/>
      <c r="JH3" s="233"/>
      <c r="JI3" s="233"/>
      <c r="JJ3" s="233"/>
      <c r="JK3" s="233"/>
      <c r="JL3" s="233"/>
      <c r="JM3" s="233"/>
      <c r="JN3" s="233"/>
      <c r="JO3" s="233"/>
      <c r="JP3" s="233"/>
      <c r="JQ3" s="233"/>
      <c r="JR3" s="233"/>
      <c r="JS3" s="233"/>
      <c r="JT3" s="233"/>
      <c r="JU3" s="233"/>
      <c r="JV3" s="233"/>
      <c r="JW3" s="233"/>
      <c r="JX3" s="233"/>
      <c r="JY3" s="233"/>
      <c r="JZ3" s="233"/>
      <c r="KA3" s="233"/>
      <c r="KB3" s="233"/>
      <c r="KC3" s="233"/>
      <c r="KD3" s="233"/>
      <c r="KE3" s="233"/>
      <c r="KF3" s="233"/>
      <c r="KG3" s="233"/>
      <c r="KH3" s="233"/>
      <c r="KI3" s="233"/>
      <c r="KJ3" s="233"/>
      <c r="KK3" s="233"/>
      <c r="KL3" s="233"/>
      <c r="KM3" s="233"/>
      <c r="KN3" s="233"/>
      <c r="KO3" s="233"/>
      <c r="KP3" s="233"/>
      <c r="KQ3" s="233"/>
      <c r="KR3" s="233"/>
      <c r="KS3" s="233"/>
      <c r="KT3" s="233"/>
      <c r="KU3" s="233"/>
      <c r="KV3" s="233"/>
      <c r="KW3" s="233"/>
      <c r="KX3" s="233"/>
      <c r="KY3" s="233"/>
      <c r="KZ3" s="233"/>
      <c r="LA3" s="233"/>
      <c r="LB3" s="233"/>
      <c r="LC3" s="233"/>
      <c r="LD3" s="233"/>
      <c r="LE3" s="233"/>
      <c r="LF3" s="233"/>
      <c r="LG3" s="233"/>
      <c r="LH3" s="233"/>
      <c r="LI3" s="233"/>
      <c r="LJ3" s="233"/>
      <c r="LK3" s="233"/>
      <c r="LL3" s="233"/>
      <c r="LM3" s="233"/>
      <c r="LN3" s="233"/>
      <c r="LO3" s="233"/>
      <c r="LP3" s="233"/>
      <c r="LQ3" s="233"/>
      <c r="LR3" s="233"/>
      <c r="LS3" s="233"/>
      <c r="LT3" s="233"/>
      <c r="LU3" s="233"/>
      <c r="LV3" s="233"/>
      <c r="LW3" s="233"/>
      <c r="LX3" s="233"/>
      <c r="LY3" s="233"/>
      <c r="LZ3" s="233"/>
      <c r="MA3" s="233"/>
    </row>
    <row r="4" spans="1:339" s="56" customFormat="1" ht="60" customHeight="1" collapsed="1" x14ac:dyDescent="0.25">
      <c r="A4" s="40" t="s">
        <v>1304</v>
      </c>
      <c r="B4" s="40" t="s">
        <v>1305</v>
      </c>
      <c r="C4" s="48" t="s">
        <v>1313</v>
      </c>
      <c r="D4" s="40" t="s">
        <v>1302</v>
      </c>
      <c r="E4" s="164" t="s">
        <v>2125</v>
      </c>
      <c r="F4" s="90" t="s">
        <v>243</v>
      </c>
      <c r="G4" s="90"/>
      <c r="H4" s="77"/>
      <c r="I4" s="15"/>
      <c r="J4" s="111" t="str">
        <f>IF(H4&gt;0,(H4*VLOOKUP(Lookups!$K$11,Lookups!$M$10:$P$43,4,0)/VLOOKUP(I4,Lookups!$M$10:$P$43,4,0)),"")</f>
        <v/>
      </c>
      <c r="K4" s="198">
        <f>10.9360877075346/100</f>
        <v>0.109360877075346</v>
      </c>
      <c r="L4" s="15" t="s">
        <v>1522</v>
      </c>
      <c r="M4" s="111">
        <f>IF(K4&gt;0,(K4*VLOOKUP(Lookups!$K$11,Lookups!$M$10:$P$43,4,0)/VLOOKUP(L4,Lookups!$M$10:$P$43,4,0)),"")</f>
        <v>0.109360877075346</v>
      </c>
      <c r="N4" s="165"/>
      <c r="O4" s="15"/>
      <c r="P4" s="17" t="str">
        <f>IF(N4&gt;0,(N4*VLOOKUP(Lookups!$K$11,Lookups!$M$10:$P$43,4,0)/VLOOKUP(O4,Lookups!$M$10:$P$43,4,0)),"")</f>
        <v/>
      </c>
      <c r="Q4" s="234" t="s">
        <v>1307</v>
      </c>
      <c r="R4" s="15" t="s">
        <v>154</v>
      </c>
      <c r="S4" s="107" t="s">
        <v>2701</v>
      </c>
      <c r="T4" s="15" t="s">
        <v>923</v>
      </c>
      <c r="U4" s="90" t="s">
        <v>3117</v>
      </c>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233"/>
      <c r="FE4" s="233"/>
      <c r="FF4" s="233"/>
      <c r="FG4" s="233"/>
      <c r="FH4" s="233"/>
      <c r="FI4" s="233"/>
      <c r="FJ4" s="233"/>
      <c r="FK4" s="233"/>
      <c r="FL4" s="233"/>
      <c r="FM4" s="233"/>
      <c r="FN4" s="233"/>
      <c r="FO4" s="233"/>
      <c r="FP4" s="233"/>
      <c r="FQ4" s="233"/>
      <c r="FR4" s="233"/>
      <c r="FS4" s="233"/>
      <c r="FT4" s="233"/>
      <c r="FU4" s="233"/>
      <c r="FV4" s="233"/>
      <c r="FW4" s="233"/>
      <c r="FX4" s="233"/>
      <c r="FY4" s="233"/>
      <c r="FZ4" s="233"/>
      <c r="GA4" s="233"/>
      <c r="GB4" s="233"/>
      <c r="GC4" s="233"/>
      <c r="GD4" s="233"/>
      <c r="GE4" s="233"/>
      <c r="GF4" s="233"/>
      <c r="GG4" s="233"/>
      <c r="GH4" s="233"/>
      <c r="GI4" s="233"/>
      <c r="GJ4" s="233"/>
      <c r="GK4" s="233"/>
      <c r="GL4" s="233"/>
      <c r="GM4" s="233"/>
      <c r="GN4" s="233"/>
      <c r="GO4" s="233"/>
      <c r="GP4" s="233"/>
      <c r="GQ4" s="233"/>
      <c r="GR4" s="233"/>
      <c r="GS4" s="233"/>
      <c r="GT4" s="233"/>
      <c r="GU4" s="233"/>
      <c r="GV4" s="233"/>
      <c r="GW4" s="233"/>
      <c r="GX4" s="233"/>
      <c r="GY4" s="233"/>
      <c r="GZ4" s="233"/>
      <c r="HA4" s="233"/>
      <c r="HB4" s="233"/>
      <c r="HC4" s="233"/>
      <c r="HD4" s="233"/>
      <c r="HE4" s="233"/>
      <c r="HF4" s="233"/>
      <c r="HG4" s="233"/>
      <c r="HH4" s="233"/>
      <c r="HI4" s="233"/>
      <c r="HJ4" s="233"/>
      <c r="HK4" s="233"/>
      <c r="HL4" s="233"/>
      <c r="HM4" s="233"/>
      <c r="HN4" s="233"/>
      <c r="HO4" s="233"/>
      <c r="HP4" s="233"/>
      <c r="HQ4" s="233"/>
      <c r="HR4" s="233"/>
      <c r="HS4" s="233"/>
      <c r="HT4" s="233"/>
      <c r="HU4" s="233"/>
      <c r="HV4" s="233"/>
      <c r="HW4" s="233"/>
      <c r="HX4" s="233"/>
      <c r="HY4" s="233"/>
      <c r="HZ4" s="233"/>
      <c r="IA4" s="233"/>
      <c r="IB4" s="233"/>
      <c r="IC4" s="233"/>
      <c r="ID4" s="233"/>
      <c r="IE4" s="233"/>
      <c r="IF4" s="233"/>
      <c r="IG4" s="233"/>
      <c r="IH4" s="233"/>
      <c r="II4" s="233"/>
      <c r="IJ4" s="233"/>
      <c r="IK4" s="233"/>
      <c r="IL4" s="233"/>
      <c r="IM4" s="233"/>
      <c r="IN4" s="233"/>
      <c r="IO4" s="233"/>
      <c r="IP4" s="233"/>
      <c r="IQ4" s="233"/>
      <c r="IR4" s="233"/>
      <c r="IS4" s="233"/>
      <c r="IT4" s="233"/>
      <c r="IU4" s="233"/>
      <c r="IV4" s="233"/>
      <c r="IW4" s="233"/>
      <c r="IX4" s="233"/>
      <c r="IY4" s="233"/>
      <c r="IZ4" s="233"/>
      <c r="JA4" s="233"/>
      <c r="JB4" s="233"/>
      <c r="JC4" s="233"/>
      <c r="JD4" s="233"/>
      <c r="JE4" s="233"/>
      <c r="JF4" s="233"/>
      <c r="JG4" s="233"/>
      <c r="JH4" s="233"/>
      <c r="JI4" s="233"/>
      <c r="JJ4" s="233"/>
      <c r="JK4" s="233"/>
      <c r="JL4" s="233"/>
      <c r="JM4" s="233"/>
      <c r="JN4" s="233"/>
      <c r="JO4" s="233"/>
      <c r="JP4" s="233"/>
      <c r="JQ4" s="233"/>
      <c r="JR4" s="233"/>
      <c r="JS4" s="233"/>
      <c r="JT4" s="233"/>
      <c r="JU4" s="233"/>
      <c r="JV4" s="233"/>
      <c r="JW4" s="233"/>
      <c r="JX4" s="233"/>
      <c r="JY4" s="233"/>
      <c r="JZ4" s="233"/>
      <c r="KA4" s="233"/>
      <c r="KB4" s="233"/>
      <c r="KC4" s="233"/>
      <c r="KD4" s="233"/>
      <c r="KE4" s="233"/>
      <c r="KF4" s="233"/>
      <c r="KG4" s="233"/>
      <c r="KH4" s="233"/>
      <c r="KI4" s="233"/>
      <c r="KJ4" s="233"/>
      <c r="KK4" s="233"/>
      <c r="KL4" s="233"/>
      <c r="KM4" s="233"/>
      <c r="KN4" s="233"/>
      <c r="KO4" s="233"/>
      <c r="KP4" s="233"/>
      <c r="KQ4" s="233"/>
      <c r="KR4" s="233"/>
      <c r="KS4" s="233"/>
      <c r="KT4" s="233"/>
      <c r="KU4" s="233"/>
      <c r="KV4" s="233"/>
      <c r="KW4" s="233"/>
      <c r="KX4" s="233"/>
      <c r="KY4" s="233"/>
      <c r="KZ4" s="233"/>
      <c r="LA4" s="233"/>
      <c r="LB4" s="233"/>
      <c r="LC4" s="233"/>
      <c r="LD4" s="233"/>
      <c r="LE4" s="233"/>
      <c r="LF4" s="233"/>
      <c r="LG4" s="233"/>
      <c r="LH4" s="233"/>
      <c r="LI4" s="233"/>
      <c r="LJ4" s="233"/>
      <c r="LK4" s="233"/>
      <c r="LL4" s="233"/>
      <c r="LM4" s="233"/>
      <c r="LN4" s="233"/>
      <c r="LO4" s="233"/>
      <c r="LP4" s="233"/>
      <c r="LQ4" s="233"/>
      <c r="LR4" s="233"/>
      <c r="LS4" s="233"/>
      <c r="LT4" s="233"/>
      <c r="LU4" s="233"/>
      <c r="LV4" s="233"/>
      <c r="LW4" s="233"/>
      <c r="LX4" s="233"/>
      <c r="LY4" s="233"/>
      <c r="LZ4" s="233"/>
      <c r="MA4" s="233"/>
    </row>
    <row r="5" spans="1:339" s="56" customFormat="1" ht="60" hidden="1" customHeight="1" outlineLevel="1" x14ac:dyDescent="0.25">
      <c r="A5" s="50" t="s">
        <v>1304</v>
      </c>
      <c r="B5" s="50" t="s">
        <v>1305</v>
      </c>
      <c r="C5" s="50" t="s">
        <v>1314</v>
      </c>
      <c r="D5" s="50" t="s">
        <v>1309</v>
      </c>
      <c r="E5" s="164" t="s">
        <v>2125</v>
      </c>
      <c r="F5" s="90" t="s">
        <v>243</v>
      </c>
      <c r="G5" s="90"/>
      <c r="H5" s="165"/>
      <c r="I5" s="15"/>
      <c r="J5" s="111" t="str">
        <f>IF(H5&gt;0,(H5*VLOOKUP(Lookups!$K$11,Lookups!$M$10:$P$43,4,0)/VLOOKUP(I5,Lookups!$M$10:$P$43,4,0)),"")</f>
        <v/>
      </c>
      <c r="K5" s="198">
        <f>9.44539092885424/100</f>
        <v>9.4453909288542401E-2</v>
      </c>
      <c r="L5" s="15" t="s">
        <v>1522</v>
      </c>
      <c r="M5" s="111">
        <f>IF(K5&gt;0,(K5*VLOOKUP(Lookups!$K$11,Lookups!$M$10:$P$43,4,0)/VLOOKUP(L5,Lookups!$M$10:$P$43,4,0)),"")</f>
        <v>9.4453909288542401E-2</v>
      </c>
      <c r="N5" s="165"/>
      <c r="O5" s="15"/>
      <c r="P5" s="17" t="str">
        <f>IF(N5&gt;0,(N5*VLOOKUP(Lookups!$K$11,Lookups!$M$10:$P$43,4,0)/VLOOKUP(O5,Lookups!$M$10:$P$43,4,0)),"")</f>
        <v/>
      </c>
      <c r="Q5" s="234" t="s">
        <v>1307</v>
      </c>
      <c r="R5" s="15" t="s">
        <v>154</v>
      </c>
      <c r="S5" s="107" t="s">
        <v>2702</v>
      </c>
      <c r="T5" s="15" t="s">
        <v>923</v>
      </c>
      <c r="U5" s="90" t="s">
        <v>3117</v>
      </c>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33"/>
      <c r="EJ5" s="233"/>
      <c r="EK5" s="233"/>
      <c r="EL5" s="233"/>
      <c r="EM5" s="233"/>
      <c r="EN5" s="233"/>
      <c r="EO5" s="233"/>
      <c r="EP5" s="233"/>
      <c r="EQ5" s="233"/>
      <c r="ER5" s="233"/>
      <c r="ES5" s="233"/>
      <c r="ET5" s="233"/>
      <c r="EU5" s="233"/>
      <c r="EV5" s="233"/>
      <c r="EW5" s="233"/>
      <c r="EX5" s="233"/>
      <c r="EY5" s="233"/>
      <c r="EZ5" s="233"/>
      <c r="FA5" s="233"/>
      <c r="FB5" s="233"/>
      <c r="FC5" s="233"/>
      <c r="FD5" s="233"/>
      <c r="FE5" s="233"/>
      <c r="FF5" s="233"/>
      <c r="FG5" s="233"/>
      <c r="FH5" s="233"/>
      <c r="FI5" s="233"/>
      <c r="FJ5" s="233"/>
      <c r="FK5" s="233"/>
      <c r="FL5" s="233"/>
      <c r="FM5" s="233"/>
      <c r="FN5" s="233"/>
      <c r="FO5" s="233"/>
      <c r="FP5" s="233"/>
      <c r="FQ5" s="233"/>
      <c r="FR5" s="233"/>
      <c r="FS5" s="233"/>
      <c r="FT5" s="233"/>
      <c r="FU5" s="233"/>
      <c r="FV5" s="233"/>
      <c r="FW5" s="233"/>
      <c r="FX5" s="233"/>
      <c r="FY5" s="233"/>
      <c r="FZ5" s="233"/>
      <c r="GA5" s="233"/>
      <c r="GB5" s="233"/>
      <c r="GC5" s="233"/>
      <c r="GD5" s="233"/>
      <c r="GE5" s="233"/>
      <c r="GF5" s="233"/>
      <c r="GG5" s="233"/>
      <c r="GH5" s="233"/>
      <c r="GI5" s="233"/>
      <c r="GJ5" s="233"/>
      <c r="GK5" s="233"/>
      <c r="GL5" s="233"/>
      <c r="GM5" s="233"/>
      <c r="GN5" s="233"/>
      <c r="GO5" s="233"/>
      <c r="GP5" s="233"/>
      <c r="GQ5" s="233"/>
      <c r="GR5" s="233"/>
      <c r="GS5" s="233"/>
      <c r="GT5" s="233"/>
      <c r="GU5" s="233"/>
      <c r="GV5" s="233"/>
      <c r="GW5" s="233"/>
      <c r="GX5" s="233"/>
      <c r="GY5" s="233"/>
      <c r="GZ5" s="233"/>
      <c r="HA5" s="233"/>
      <c r="HB5" s="233"/>
      <c r="HC5" s="233"/>
      <c r="HD5" s="233"/>
      <c r="HE5" s="233"/>
      <c r="HF5" s="233"/>
      <c r="HG5" s="233"/>
      <c r="HH5" s="233"/>
      <c r="HI5" s="233"/>
      <c r="HJ5" s="233"/>
      <c r="HK5" s="233"/>
      <c r="HL5" s="233"/>
      <c r="HM5" s="233"/>
      <c r="HN5" s="233"/>
      <c r="HO5" s="233"/>
      <c r="HP5" s="233"/>
      <c r="HQ5" s="233"/>
      <c r="HR5" s="233"/>
      <c r="HS5" s="233"/>
      <c r="HT5" s="233"/>
      <c r="HU5" s="233"/>
      <c r="HV5" s="233"/>
      <c r="HW5" s="233"/>
      <c r="HX5" s="233"/>
      <c r="HY5" s="233"/>
      <c r="HZ5" s="233"/>
      <c r="IA5" s="233"/>
      <c r="IB5" s="233"/>
      <c r="IC5" s="233"/>
      <c r="ID5" s="233"/>
      <c r="IE5" s="233"/>
      <c r="IF5" s="233"/>
      <c r="IG5" s="233"/>
      <c r="IH5" s="233"/>
      <c r="II5" s="233"/>
      <c r="IJ5" s="233"/>
      <c r="IK5" s="233"/>
      <c r="IL5" s="233"/>
      <c r="IM5" s="233"/>
      <c r="IN5" s="233"/>
      <c r="IO5" s="233"/>
      <c r="IP5" s="233"/>
      <c r="IQ5" s="233"/>
      <c r="IR5" s="233"/>
      <c r="IS5" s="233"/>
      <c r="IT5" s="233"/>
      <c r="IU5" s="233"/>
      <c r="IV5" s="233"/>
      <c r="IW5" s="233"/>
      <c r="IX5" s="233"/>
      <c r="IY5" s="233"/>
      <c r="IZ5" s="233"/>
      <c r="JA5" s="233"/>
      <c r="JB5" s="233"/>
      <c r="JC5" s="233"/>
      <c r="JD5" s="233"/>
      <c r="JE5" s="233"/>
      <c r="JF5" s="233"/>
      <c r="JG5" s="233"/>
      <c r="JH5" s="233"/>
      <c r="JI5" s="233"/>
      <c r="JJ5" s="233"/>
      <c r="JK5" s="233"/>
      <c r="JL5" s="233"/>
      <c r="JM5" s="233"/>
      <c r="JN5" s="233"/>
      <c r="JO5" s="233"/>
      <c r="JP5" s="233"/>
      <c r="JQ5" s="233"/>
      <c r="JR5" s="233"/>
      <c r="JS5" s="233"/>
      <c r="JT5" s="233"/>
      <c r="JU5" s="233"/>
      <c r="JV5" s="233"/>
      <c r="JW5" s="233"/>
      <c r="JX5" s="233"/>
      <c r="JY5" s="233"/>
      <c r="JZ5" s="233"/>
      <c r="KA5" s="233"/>
      <c r="KB5" s="233"/>
      <c r="KC5" s="233"/>
      <c r="KD5" s="233"/>
      <c r="KE5" s="233"/>
      <c r="KF5" s="233"/>
      <c r="KG5" s="233"/>
      <c r="KH5" s="233"/>
      <c r="KI5" s="233"/>
      <c r="KJ5" s="233"/>
      <c r="KK5" s="233"/>
      <c r="KL5" s="233"/>
      <c r="KM5" s="233"/>
      <c r="KN5" s="233"/>
      <c r="KO5" s="233"/>
      <c r="KP5" s="233"/>
      <c r="KQ5" s="233"/>
      <c r="KR5" s="233"/>
      <c r="KS5" s="233"/>
      <c r="KT5" s="233"/>
      <c r="KU5" s="233"/>
      <c r="KV5" s="233"/>
      <c r="KW5" s="233"/>
      <c r="KX5" s="233"/>
      <c r="KY5" s="233"/>
      <c r="KZ5" s="233"/>
      <c r="LA5" s="233"/>
      <c r="LB5" s="233"/>
      <c r="LC5" s="233"/>
      <c r="LD5" s="233"/>
      <c r="LE5" s="233"/>
      <c r="LF5" s="233"/>
      <c r="LG5" s="233"/>
      <c r="LH5" s="233"/>
      <c r="LI5" s="233"/>
      <c r="LJ5" s="233"/>
      <c r="LK5" s="233"/>
      <c r="LL5" s="233"/>
      <c r="LM5" s="233"/>
      <c r="LN5" s="233"/>
      <c r="LO5" s="233"/>
      <c r="LP5" s="233"/>
      <c r="LQ5" s="233"/>
      <c r="LR5" s="233"/>
      <c r="LS5" s="233"/>
      <c r="LT5" s="233"/>
      <c r="LU5" s="233"/>
      <c r="LV5" s="233"/>
      <c r="LW5" s="233"/>
      <c r="LX5" s="233"/>
      <c r="LY5" s="233"/>
      <c r="LZ5" s="233"/>
      <c r="MA5" s="233"/>
    </row>
    <row r="6" spans="1:339" s="56" customFormat="1" ht="60" hidden="1" customHeight="1" outlineLevel="1" x14ac:dyDescent="0.25">
      <c r="A6" s="50" t="s">
        <v>1304</v>
      </c>
      <c r="B6" s="50" t="s">
        <v>1305</v>
      </c>
      <c r="C6" s="50" t="s">
        <v>1315</v>
      </c>
      <c r="D6" s="50" t="s">
        <v>1310</v>
      </c>
      <c r="E6" s="164" t="s">
        <v>2125</v>
      </c>
      <c r="F6" s="90" t="s">
        <v>243</v>
      </c>
      <c r="G6" s="90"/>
      <c r="H6" s="165"/>
      <c r="I6" s="15"/>
      <c r="J6" s="111" t="str">
        <f>IF(H6&gt;0,(H6*VLOOKUP(Lookups!$K$11,Lookups!$M$10:$P$43,4,0)/VLOOKUP(I6,Lookups!$M$10:$P$43,4,0)),"")</f>
        <v/>
      </c>
      <c r="K6" s="198">
        <f>8.79993772800105/100</f>
        <v>8.7999377280010491E-2</v>
      </c>
      <c r="L6" s="15" t="s">
        <v>1522</v>
      </c>
      <c r="M6" s="111">
        <f>IF(K6&gt;0,(K6*VLOOKUP(Lookups!$K$11,Lookups!$M$10:$P$43,4,0)/VLOOKUP(L6,Lookups!$M$10:$P$43,4,0)),"")</f>
        <v>8.7999377280010491E-2</v>
      </c>
      <c r="N6" s="165"/>
      <c r="O6" s="15"/>
      <c r="P6" s="17" t="str">
        <f>IF(N6&gt;0,(N6*VLOOKUP(Lookups!$K$11,Lookups!$M$10:$P$43,4,0)/VLOOKUP(O6,Lookups!$M$10:$P$43,4,0)),"")</f>
        <v/>
      </c>
      <c r="Q6" s="234" t="s">
        <v>1307</v>
      </c>
      <c r="R6" s="15" t="s">
        <v>154</v>
      </c>
      <c r="S6" s="107" t="s">
        <v>2703</v>
      </c>
      <c r="T6" s="15" t="s">
        <v>923</v>
      </c>
      <c r="U6" s="90" t="s">
        <v>3117</v>
      </c>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233"/>
      <c r="FA6" s="233"/>
      <c r="FB6" s="233"/>
      <c r="FC6" s="233"/>
      <c r="FD6" s="233"/>
      <c r="FE6" s="233"/>
      <c r="FF6" s="233"/>
      <c r="FG6" s="233"/>
      <c r="FH6" s="233"/>
      <c r="FI6" s="233"/>
      <c r="FJ6" s="233"/>
      <c r="FK6" s="233"/>
      <c r="FL6" s="233"/>
      <c r="FM6" s="233"/>
      <c r="FN6" s="233"/>
      <c r="FO6" s="233"/>
      <c r="FP6" s="233"/>
      <c r="FQ6" s="233"/>
      <c r="FR6" s="233"/>
      <c r="FS6" s="233"/>
      <c r="FT6" s="233"/>
      <c r="FU6" s="233"/>
      <c r="FV6" s="233"/>
      <c r="FW6" s="233"/>
      <c r="FX6" s="233"/>
      <c r="FY6" s="233"/>
      <c r="FZ6" s="233"/>
      <c r="GA6" s="233"/>
      <c r="GB6" s="233"/>
      <c r="GC6" s="233"/>
      <c r="GD6" s="233"/>
      <c r="GE6" s="233"/>
      <c r="GF6" s="233"/>
      <c r="GG6" s="233"/>
      <c r="GH6" s="233"/>
      <c r="GI6" s="233"/>
      <c r="GJ6" s="233"/>
      <c r="GK6" s="233"/>
      <c r="GL6" s="233"/>
      <c r="GM6" s="233"/>
      <c r="GN6" s="233"/>
      <c r="GO6" s="233"/>
      <c r="GP6" s="233"/>
      <c r="GQ6" s="233"/>
      <c r="GR6" s="233"/>
      <c r="GS6" s="233"/>
      <c r="GT6" s="233"/>
      <c r="GU6" s="233"/>
      <c r="GV6" s="233"/>
      <c r="GW6" s="233"/>
      <c r="GX6" s="233"/>
      <c r="GY6" s="233"/>
      <c r="GZ6" s="233"/>
      <c r="HA6" s="233"/>
      <c r="HB6" s="233"/>
      <c r="HC6" s="233"/>
      <c r="HD6" s="233"/>
      <c r="HE6" s="233"/>
      <c r="HF6" s="233"/>
      <c r="HG6" s="233"/>
      <c r="HH6" s="233"/>
      <c r="HI6" s="233"/>
      <c r="HJ6" s="233"/>
      <c r="HK6" s="233"/>
      <c r="HL6" s="233"/>
      <c r="HM6" s="233"/>
      <c r="HN6" s="233"/>
      <c r="HO6" s="233"/>
      <c r="HP6" s="233"/>
      <c r="HQ6" s="233"/>
      <c r="HR6" s="233"/>
      <c r="HS6" s="233"/>
      <c r="HT6" s="233"/>
      <c r="HU6" s="233"/>
      <c r="HV6" s="233"/>
      <c r="HW6" s="233"/>
      <c r="HX6" s="233"/>
      <c r="HY6" s="233"/>
      <c r="HZ6" s="233"/>
      <c r="IA6" s="233"/>
      <c r="IB6" s="233"/>
      <c r="IC6" s="233"/>
      <c r="ID6" s="233"/>
      <c r="IE6" s="233"/>
      <c r="IF6" s="233"/>
      <c r="IG6" s="233"/>
      <c r="IH6" s="233"/>
      <c r="II6" s="233"/>
      <c r="IJ6" s="233"/>
      <c r="IK6" s="233"/>
      <c r="IL6" s="233"/>
      <c r="IM6" s="233"/>
      <c r="IN6" s="233"/>
      <c r="IO6" s="233"/>
      <c r="IP6" s="233"/>
      <c r="IQ6" s="233"/>
      <c r="IR6" s="233"/>
      <c r="IS6" s="233"/>
      <c r="IT6" s="233"/>
      <c r="IU6" s="233"/>
      <c r="IV6" s="233"/>
      <c r="IW6" s="233"/>
      <c r="IX6" s="233"/>
      <c r="IY6" s="233"/>
      <c r="IZ6" s="233"/>
      <c r="JA6" s="233"/>
      <c r="JB6" s="233"/>
      <c r="JC6" s="233"/>
      <c r="JD6" s="233"/>
      <c r="JE6" s="233"/>
      <c r="JF6" s="233"/>
      <c r="JG6" s="233"/>
      <c r="JH6" s="233"/>
      <c r="JI6" s="233"/>
      <c r="JJ6" s="233"/>
      <c r="JK6" s="233"/>
      <c r="JL6" s="233"/>
      <c r="JM6" s="233"/>
      <c r="JN6" s="233"/>
      <c r="JO6" s="233"/>
      <c r="JP6" s="233"/>
      <c r="JQ6" s="233"/>
      <c r="JR6" s="233"/>
      <c r="JS6" s="233"/>
      <c r="JT6" s="233"/>
      <c r="JU6" s="233"/>
      <c r="JV6" s="233"/>
      <c r="JW6" s="233"/>
      <c r="JX6" s="233"/>
      <c r="JY6" s="233"/>
      <c r="JZ6" s="233"/>
      <c r="KA6" s="233"/>
      <c r="KB6" s="233"/>
      <c r="KC6" s="233"/>
      <c r="KD6" s="233"/>
      <c r="KE6" s="233"/>
      <c r="KF6" s="233"/>
      <c r="KG6" s="233"/>
      <c r="KH6" s="233"/>
      <c r="KI6" s="233"/>
      <c r="KJ6" s="233"/>
      <c r="KK6" s="233"/>
      <c r="KL6" s="233"/>
      <c r="KM6" s="233"/>
      <c r="KN6" s="233"/>
      <c r="KO6" s="233"/>
      <c r="KP6" s="233"/>
      <c r="KQ6" s="233"/>
      <c r="KR6" s="233"/>
      <c r="KS6" s="233"/>
      <c r="KT6" s="233"/>
      <c r="KU6" s="233"/>
      <c r="KV6" s="233"/>
      <c r="KW6" s="233"/>
      <c r="KX6" s="233"/>
      <c r="KY6" s="233"/>
      <c r="KZ6" s="233"/>
      <c r="LA6" s="233"/>
      <c r="LB6" s="233"/>
      <c r="LC6" s="233"/>
      <c r="LD6" s="233"/>
      <c r="LE6" s="233"/>
      <c r="LF6" s="233"/>
      <c r="LG6" s="233"/>
      <c r="LH6" s="233"/>
      <c r="LI6" s="233"/>
      <c r="LJ6" s="233"/>
      <c r="LK6" s="233"/>
      <c r="LL6" s="233"/>
      <c r="LM6" s="233"/>
      <c r="LN6" s="233"/>
      <c r="LO6" s="233"/>
      <c r="LP6" s="233"/>
      <c r="LQ6" s="233"/>
      <c r="LR6" s="233"/>
      <c r="LS6" s="233"/>
      <c r="LT6" s="233"/>
      <c r="LU6" s="233"/>
      <c r="LV6" s="233"/>
      <c r="LW6" s="233"/>
      <c r="LX6" s="233"/>
      <c r="LY6" s="233"/>
      <c r="LZ6" s="233"/>
      <c r="MA6" s="233"/>
    </row>
    <row r="7" spans="1:339" s="56" customFormat="1" ht="60" hidden="1" customHeight="1" outlineLevel="1" x14ac:dyDescent="0.25">
      <c r="A7" s="50" t="s">
        <v>1304</v>
      </c>
      <c r="B7" s="50" t="s">
        <v>1305</v>
      </c>
      <c r="C7" s="50" t="s">
        <v>1318</v>
      </c>
      <c r="D7" s="50" t="s">
        <v>1350</v>
      </c>
      <c r="E7" s="164" t="s">
        <v>2125</v>
      </c>
      <c r="F7" s="90" t="s">
        <v>243</v>
      </c>
      <c r="G7" s="90"/>
      <c r="H7" s="165"/>
      <c r="I7" s="15"/>
      <c r="J7" s="111" t="str">
        <f>IF(H7&gt;0,(H7*VLOOKUP(Lookups!$K$11,Lookups!$M$10:$P$43,4,0)/VLOOKUP(I7,Lookups!$M$10:$P$43,4,0)),"")</f>
        <v/>
      </c>
      <c r="K7" s="206">
        <f>0.269315486252842*(K3/1000)</f>
        <v>6.6790240590704819E-2</v>
      </c>
      <c r="L7" s="15" t="s">
        <v>1522</v>
      </c>
      <c r="M7" s="111">
        <f>IF(K7&gt;0,(K7*VLOOKUP(Lookups!$K$11,Lookups!$M$10:$P$43,4,0)/VLOOKUP(L7,Lookups!$M$10:$P$43,4,0)),"")</f>
        <v>6.6790240590704819E-2</v>
      </c>
      <c r="N7" s="165"/>
      <c r="O7" s="15"/>
      <c r="P7" s="17" t="str">
        <f>IF(N7&gt;0,(N7*VLOOKUP(Lookups!$K$11,Lookups!$M$10:$P$43,4,0)/VLOOKUP(O7,Lookups!$M$10:$P$43,4,0)),"")</f>
        <v/>
      </c>
      <c r="Q7" s="234" t="s">
        <v>1325</v>
      </c>
      <c r="R7" s="15" t="s">
        <v>154</v>
      </c>
      <c r="S7" s="107" t="s">
        <v>2384</v>
      </c>
      <c r="T7" s="15" t="s">
        <v>923</v>
      </c>
      <c r="U7" s="90" t="s">
        <v>3117</v>
      </c>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c r="EF7" s="233"/>
      <c r="EG7" s="233"/>
      <c r="EH7" s="233"/>
      <c r="EI7" s="233"/>
      <c r="EJ7" s="233"/>
      <c r="EK7" s="233"/>
      <c r="EL7" s="233"/>
      <c r="EM7" s="233"/>
      <c r="EN7" s="233"/>
      <c r="EO7" s="233"/>
      <c r="EP7" s="233"/>
      <c r="EQ7" s="233"/>
      <c r="ER7" s="233"/>
      <c r="ES7" s="233"/>
      <c r="ET7" s="233"/>
      <c r="EU7" s="233"/>
      <c r="EV7" s="233"/>
      <c r="EW7" s="233"/>
      <c r="EX7" s="233"/>
      <c r="EY7" s="233"/>
      <c r="EZ7" s="233"/>
      <c r="FA7" s="233"/>
      <c r="FB7" s="233"/>
      <c r="FC7" s="233"/>
      <c r="FD7" s="233"/>
      <c r="FE7" s="233"/>
      <c r="FF7" s="233"/>
      <c r="FG7" s="233"/>
      <c r="FH7" s="233"/>
      <c r="FI7" s="233"/>
      <c r="FJ7" s="233"/>
      <c r="FK7" s="233"/>
      <c r="FL7" s="233"/>
      <c r="FM7" s="233"/>
      <c r="FN7" s="233"/>
      <c r="FO7" s="233"/>
      <c r="FP7" s="233"/>
      <c r="FQ7" s="233"/>
      <c r="FR7" s="233"/>
      <c r="FS7" s="233"/>
      <c r="FT7" s="233"/>
      <c r="FU7" s="233"/>
      <c r="FV7" s="233"/>
      <c r="FW7" s="233"/>
      <c r="FX7" s="233"/>
      <c r="FY7" s="233"/>
      <c r="FZ7" s="233"/>
      <c r="GA7" s="233"/>
      <c r="GB7" s="233"/>
      <c r="GC7" s="233"/>
      <c r="GD7" s="233"/>
      <c r="GE7" s="233"/>
      <c r="GF7" s="233"/>
      <c r="GG7" s="233"/>
      <c r="GH7" s="233"/>
      <c r="GI7" s="233"/>
      <c r="GJ7" s="233"/>
      <c r="GK7" s="233"/>
      <c r="GL7" s="233"/>
      <c r="GM7" s="233"/>
      <c r="GN7" s="233"/>
      <c r="GO7" s="233"/>
      <c r="GP7" s="233"/>
      <c r="GQ7" s="233"/>
      <c r="GR7" s="233"/>
      <c r="GS7" s="233"/>
      <c r="GT7" s="233"/>
      <c r="GU7" s="233"/>
      <c r="GV7" s="233"/>
      <c r="GW7" s="233"/>
      <c r="GX7" s="233"/>
      <c r="GY7" s="233"/>
      <c r="GZ7" s="233"/>
      <c r="HA7" s="233"/>
      <c r="HB7" s="233"/>
      <c r="HC7" s="233"/>
      <c r="HD7" s="233"/>
      <c r="HE7" s="233"/>
      <c r="HF7" s="233"/>
      <c r="HG7" s="233"/>
      <c r="HH7" s="233"/>
      <c r="HI7" s="233"/>
      <c r="HJ7" s="233"/>
      <c r="HK7" s="233"/>
      <c r="HL7" s="233"/>
      <c r="HM7" s="233"/>
      <c r="HN7" s="233"/>
      <c r="HO7" s="233"/>
      <c r="HP7" s="233"/>
      <c r="HQ7" s="233"/>
      <c r="HR7" s="233"/>
      <c r="HS7" s="233"/>
      <c r="HT7" s="233"/>
      <c r="HU7" s="233"/>
      <c r="HV7" s="233"/>
      <c r="HW7" s="233"/>
      <c r="HX7" s="233"/>
      <c r="HY7" s="233"/>
      <c r="HZ7" s="233"/>
      <c r="IA7" s="233"/>
      <c r="IB7" s="233"/>
      <c r="IC7" s="233"/>
      <c r="ID7" s="233"/>
      <c r="IE7" s="233"/>
      <c r="IF7" s="233"/>
      <c r="IG7" s="233"/>
      <c r="IH7" s="233"/>
      <c r="II7" s="233"/>
      <c r="IJ7" s="233"/>
      <c r="IK7" s="233"/>
      <c r="IL7" s="233"/>
      <c r="IM7" s="233"/>
      <c r="IN7" s="233"/>
      <c r="IO7" s="233"/>
      <c r="IP7" s="233"/>
      <c r="IQ7" s="233"/>
      <c r="IR7" s="233"/>
      <c r="IS7" s="233"/>
      <c r="IT7" s="233"/>
      <c r="IU7" s="233"/>
      <c r="IV7" s="233"/>
      <c r="IW7" s="233"/>
      <c r="IX7" s="233"/>
      <c r="IY7" s="233"/>
      <c r="IZ7" s="233"/>
      <c r="JA7" s="233"/>
      <c r="JB7" s="233"/>
      <c r="JC7" s="233"/>
      <c r="JD7" s="233"/>
      <c r="JE7" s="233"/>
      <c r="JF7" s="233"/>
      <c r="JG7" s="233"/>
      <c r="JH7" s="233"/>
      <c r="JI7" s="233"/>
      <c r="JJ7" s="233"/>
      <c r="JK7" s="233"/>
      <c r="JL7" s="233"/>
      <c r="JM7" s="233"/>
      <c r="JN7" s="233"/>
      <c r="JO7" s="233"/>
      <c r="JP7" s="233"/>
      <c r="JQ7" s="233"/>
      <c r="JR7" s="233"/>
      <c r="JS7" s="233"/>
      <c r="JT7" s="233"/>
      <c r="JU7" s="233"/>
      <c r="JV7" s="233"/>
      <c r="JW7" s="233"/>
      <c r="JX7" s="233"/>
      <c r="JY7" s="233"/>
      <c r="JZ7" s="233"/>
      <c r="KA7" s="233"/>
      <c r="KB7" s="233"/>
      <c r="KC7" s="233"/>
      <c r="KD7" s="233"/>
      <c r="KE7" s="233"/>
      <c r="KF7" s="233"/>
      <c r="KG7" s="233"/>
      <c r="KH7" s="233"/>
      <c r="KI7" s="233"/>
      <c r="KJ7" s="233"/>
      <c r="KK7" s="233"/>
      <c r="KL7" s="233"/>
      <c r="KM7" s="233"/>
      <c r="KN7" s="233"/>
      <c r="KO7" s="233"/>
      <c r="KP7" s="233"/>
      <c r="KQ7" s="233"/>
      <c r="KR7" s="233"/>
      <c r="KS7" s="233"/>
      <c r="KT7" s="233"/>
      <c r="KU7" s="233"/>
      <c r="KV7" s="233"/>
      <c r="KW7" s="233"/>
      <c r="KX7" s="233"/>
      <c r="KY7" s="233"/>
      <c r="KZ7" s="233"/>
      <c r="LA7" s="233"/>
      <c r="LB7" s="233"/>
      <c r="LC7" s="233"/>
      <c r="LD7" s="233"/>
      <c r="LE7" s="233"/>
      <c r="LF7" s="233"/>
      <c r="LG7" s="233"/>
      <c r="LH7" s="233"/>
      <c r="LI7" s="233"/>
      <c r="LJ7" s="233"/>
      <c r="LK7" s="233"/>
      <c r="LL7" s="233"/>
      <c r="LM7" s="233"/>
      <c r="LN7" s="233"/>
      <c r="LO7" s="233"/>
      <c r="LP7" s="233"/>
      <c r="LQ7" s="233"/>
      <c r="LR7" s="233"/>
      <c r="LS7" s="233"/>
      <c r="LT7" s="233"/>
      <c r="LU7" s="233"/>
      <c r="LV7" s="233"/>
      <c r="LW7" s="233"/>
      <c r="LX7" s="233"/>
      <c r="LY7" s="233"/>
      <c r="LZ7" s="233"/>
      <c r="MA7" s="233"/>
    </row>
    <row r="8" spans="1:339" s="56" customFormat="1" ht="60" hidden="1" customHeight="1" outlineLevel="1" x14ac:dyDescent="0.25">
      <c r="A8" s="50" t="s">
        <v>1304</v>
      </c>
      <c r="B8" s="50" t="s">
        <v>1305</v>
      </c>
      <c r="C8" s="50" t="s">
        <v>1319</v>
      </c>
      <c r="D8" s="50" t="s">
        <v>1349</v>
      </c>
      <c r="E8" s="164" t="s">
        <v>2125</v>
      </c>
      <c r="F8" s="90" t="s">
        <v>243</v>
      </c>
      <c r="G8" s="90"/>
      <c r="H8" s="165"/>
      <c r="I8" s="15"/>
      <c r="J8" s="111" t="str">
        <f>IF(H8&gt;0,(H8*VLOOKUP(Lookups!$K$11,Lookups!$M$10:$P$43,4,0)/VLOOKUP(I8,Lookups!$M$10:$P$43,4,0)),"")</f>
        <v/>
      </c>
      <c r="K8" s="206">
        <f>0.264397395939697*(K3/1000)</f>
        <v>6.5570554193044861E-2</v>
      </c>
      <c r="L8" s="15" t="s">
        <v>1522</v>
      </c>
      <c r="M8" s="111">
        <f>IF(K8&gt;0,(K8*VLOOKUP(Lookups!$K$11,Lookups!$M$10:$P$43,4,0)/VLOOKUP(L8,Lookups!$M$10:$P$43,4,0)),"")</f>
        <v>6.5570554193044861E-2</v>
      </c>
      <c r="N8" s="165"/>
      <c r="O8" s="15"/>
      <c r="P8" s="17" t="str">
        <f>IF(N8&gt;0,(N8*VLOOKUP(Lookups!$K$11,Lookups!$M$10:$P$43,4,0)/VLOOKUP(O8,Lookups!$M$10:$P$43,4,0)),"")</f>
        <v/>
      </c>
      <c r="Q8" s="234" t="s">
        <v>1325</v>
      </c>
      <c r="R8" s="15" t="s">
        <v>154</v>
      </c>
      <c r="S8" s="107" t="s">
        <v>2384</v>
      </c>
      <c r="T8" s="15" t="s">
        <v>923</v>
      </c>
      <c r="U8" s="90" t="s">
        <v>3117</v>
      </c>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c r="EQ8" s="233"/>
      <c r="ER8" s="233"/>
      <c r="ES8" s="233"/>
      <c r="ET8" s="233"/>
      <c r="EU8" s="233"/>
      <c r="EV8" s="233"/>
      <c r="EW8" s="233"/>
      <c r="EX8" s="233"/>
      <c r="EY8" s="233"/>
      <c r="EZ8" s="233"/>
      <c r="FA8" s="233"/>
      <c r="FB8" s="233"/>
      <c r="FC8" s="233"/>
      <c r="FD8" s="233"/>
      <c r="FE8" s="233"/>
      <c r="FF8" s="233"/>
      <c r="FG8" s="233"/>
      <c r="FH8" s="233"/>
      <c r="FI8" s="233"/>
      <c r="FJ8" s="233"/>
      <c r="FK8" s="233"/>
      <c r="FL8" s="233"/>
      <c r="FM8" s="233"/>
      <c r="FN8" s="233"/>
      <c r="FO8" s="233"/>
      <c r="FP8" s="233"/>
      <c r="FQ8" s="233"/>
      <c r="FR8" s="233"/>
      <c r="FS8" s="233"/>
      <c r="FT8" s="233"/>
      <c r="FU8" s="233"/>
      <c r="FV8" s="233"/>
      <c r="FW8" s="233"/>
      <c r="FX8" s="233"/>
      <c r="FY8" s="233"/>
      <c r="FZ8" s="233"/>
      <c r="GA8" s="233"/>
      <c r="GB8" s="233"/>
      <c r="GC8" s="233"/>
      <c r="GD8" s="233"/>
      <c r="GE8" s="233"/>
      <c r="GF8" s="233"/>
      <c r="GG8" s="233"/>
      <c r="GH8" s="233"/>
      <c r="GI8" s="233"/>
      <c r="GJ8" s="233"/>
      <c r="GK8" s="233"/>
      <c r="GL8" s="233"/>
      <c r="GM8" s="233"/>
      <c r="GN8" s="233"/>
      <c r="GO8" s="233"/>
      <c r="GP8" s="233"/>
      <c r="GQ8" s="233"/>
      <c r="GR8" s="233"/>
      <c r="GS8" s="233"/>
      <c r="GT8" s="233"/>
      <c r="GU8" s="233"/>
      <c r="GV8" s="233"/>
      <c r="GW8" s="233"/>
      <c r="GX8" s="233"/>
      <c r="GY8" s="233"/>
      <c r="GZ8" s="233"/>
      <c r="HA8" s="233"/>
      <c r="HB8" s="233"/>
      <c r="HC8" s="233"/>
      <c r="HD8" s="233"/>
      <c r="HE8" s="233"/>
      <c r="HF8" s="233"/>
      <c r="HG8" s="233"/>
      <c r="HH8" s="233"/>
      <c r="HI8" s="233"/>
      <c r="HJ8" s="233"/>
      <c r="HK8" s="233"/>
      <c r="HL8" s="233"/>
      <c r="HM8" s="233"/>
      <c r="HN8" s="233"/>
      <c r="HO8" s="233"/>
      <c r="HP8" s="233"/>
      <c r="HQ8" s="233"/>
      <c r="HR8" s="233"/>
      <c r="HS8" s="233"/>
      <c r="HT8" s="233"/>
      <c r="HU8" s="233"/>
      <c r="HV8" s="233"/>
      <c r="HW8" s="233"/>
      <c r="HX8" s="233"/>
      <c r="HY8" s="233"/>
      <c r="HZ8" s="233"/>
      <c r="IA8" s="233"/>
      <c r="IB8" s="233"/>
      <c r="IC8" s="233"/>
      <c r="ID8" s="233"/>
      <c r="IE8" s="233"/>
      <c r="IF8" s="233"/>
      <c r="IG8" s="233"/>
      <c r="IH8" s="233"/>
      <c r="II8" s="233"/>
      <c r="IJ8" s="233"/>
      <c r="IK8" s="233"/>
      <c r="IL8" s="233"/>
      <c r="IM8" s="233"/>
      <c r="IN8" s="233"/>
      <c r="IO8" s="233"/>
      <c r="IP8" s="233"/>
      <c r="IQ8" s="233"/>
      <c r="IR8" s="233"/>
      <c r="IS8" s="233"/>
      <c r="IT8" s="233"/>
      <c r="IU8" s="233"/>
      <c r="IV8" s="233"/>
      <c r="IW8" s="233"/>
      <c r="IX8" s="233"/>
      <c r="IY8" s="233"/>
      <c r="IZ8" s="233"/>
      <c r="JA8" s="233"/>
      <c r="JB8" s="233"/>
      <c r="JC8" s="233"/>
      <c r="JD8" s="233"/>
      <c r="JE8" s="233"/>
      <c r="JF8" s="233"/>
      <c r="JG8" s="233"/>
      <c r="JH8" s="233"/>
      <c r="JI8" s="233"/>
      <c r="JJ8" s="233"/>
      <c r="JK8" s="233"/>
      <c r="JL8" s="233"/>
      <c r="JM8" s="233"/>
      <c r="JN8" s="233"/>
      <c r="JO8" s="233"/>
      <c r="JP8" s="233"/>
      <c r="JQ8" s="233"/>
      <c r="JR8" s="233"/>
      <c r="JS8" s="233"/>
      <c r="JT8" s="233"/>
      <c r="JU8" s="233"/>
      <c r="JV8" s="233"/>
      <c r="JW8" s="233"/>
      <c r="JX8" s="233"/>
      <c r="JY8" s="233"/>
      <c r="JZ8" s="233"/>
      <c r="KA8" s="233"/>
      <c r="KB8" s="233"/>
      <c r="KC8" s="233"/>
      <c r="KD8" s="233"/>
      <c r="KE8" s="233"/>
      <c r="KF8" s="233"/>
      <c r="KG8" s="233"/>
      <c r="KH8" s="233"/>
      <c r="KI8" s="233"/>
      <c r="KJ8" s="233"/>
      <c r="KK8" s="233"/>
      <c r="KL8" s="233"/>
      <c r="KM8" s="233"/>
      <c r="KN8" s="233"/>
      <c r="KO8" s="233"/>
      <c r="KP8" s="233"/>
      <c r="KQ8" s="233"/>
      <c r="KR8" s="233"/>
      <c r="KS8" s="233"/>
      <c r="KT8" s="233"/>
      <c r="KU8" s="233"/>
      <c r="KV8" s="233"/>
      <c r="KW8" s="233"/>
      <c r="KX8" s="233"/>
      <c r="KY8" s="233"/>
      <c r="KZ8" s="233"/>
      <c r="LA8" s="233"/>
      <c r="LB8" s="233"/>
      <c r="LC8" s="233"/>
      <c r="LD8" s="233"/>
      <c r="LE8" s="233"/>
      <c r="LF8" s="233"/>
      <c r="LG8" s="233"/>
      <c r="LH8" s="233"/>
      <c r="LI8" s="233"/>
      <c r="LJ8" s="233"/>
      <c r="LK8" s="233"/>
      <c r="LL8" s="233"/>
      <c r="LM8" s="233"/>
      <c r="LN8" s="233"/>
      <c r="LO8" s="233"/>
      <c r="LP8" s="233"/>
      <c r="LQ8" s="233"/>
      <c r="LR8" s="233"/>
      <c r="LS8" s="233"/>
      <c r="LT8" s="233"/>
      <c r="LU8" s="233"/>
      <c r="LV8" s="233"/>
      <c r="LW8" s="233"/>
      <c r="LX8" s="233"/>
      <c r="LY8" s="233"/>
      <c r="LZ8" s="233"/>
      <c r="MA8" s="233"/>
    </row>
    <row r="9" spans="1:339" s="56" customFormat="1" ht="60" hidden="1" customHeight="1" outlineLevel="1" x14ac:dyDescent="0.25">
      <c r="A9" s="50" t="s">
        <v>1304</v>
      </c>
      <c r="B9" s="50" t="s">
        <v>1305</v>
      </c>
      <c r="C9" s="50" t="s">
        <v>1320</v>
      </c>
      <c r="D9" s="50" t="s">
        <v>1348</v>
      </c>
      <c r="E9" s="164" t="s">
        <v>2125</v>
      </c>
      <c r="F9" s="90" t="s">
        <v>243</v>
      </c>
      <c r="G9" s="90"/>
      <c r="H9" s="165"/>
      <c r="I9" s="15"/>
      <c r="J9" s="111" t="str">
        <f>IF(H9&gt;0,(H9*VLOOKUP(Lookups!$K$11,Lookups!$M$10:$P$43,4,0)/VLOOKUP(I9,Lookups!$M$10:$P$43,4,0)),"")</f>
        <v/>
      </c>
      <c r="K9" s="206">
        <f>0.259479305626551*(K3/1000)</f>
        <v>6.4350867795384653E-2</v>
      </c>
      <c r="L9" s="15" t="s">
        <v>1522</v>
      </c>
      <c r="M9" s="111">
        <f>IF(K9&gt;0,(K9*VLOOKUP(Lookups!$K$11,Lookups!$M$10:$P$43,4,0)/VLOOKUP(L9,Lookups!$M$10:$P$43,4,0)),"")</f>
        <v>6.4350867795384653E-2</v>
      </c>
      <c r="N9" s="165"/>
      <c r="O9" s="15"/>
      <c r="P9" s="17" t="str">
        <f>IF(N9&gt;0,(N9*VLOOKUP(Lookups!$K$11,Lookups!$M$10:$P$43,4,0)/VLOOKUP(O9,Lookups!$M$10:$P$43,4,0)),"")</f>
        <v/>
      </c>
      <c r="Q9" s="234" t="s">
        <v>1325</v>
      </c>
      <c r="R9" s="15" t="s">
        <v>154</v>
      </c>
      <c r="S9" s="107" t="s">
        <v>2384</v>
      </c>
      <c r="T9" s="15" t="s">
        <v>923</v>
      </c>
      <c r="U9" s="90" t="s">
        <v>3117</v>
      </c>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233"/>
      <c r="EP9" s="233"/>
      <c r="EQ9" s="233"/>
      <c r="ER9" s="233"/>
      <c r="ES9" s="233"/>
      <c r="ET9" s="233"/>
      <c r="EU9" s="233"/>
      <c r="EV9" s="233"/>
      <c r="EW9" s="233"/>
      <c r="EX9" s="233"/>
      <c r="EY9" s="233"/>
      <c r="EZ9" s="233"/>
      <c r="FA9" s="233"/>
      <c r="FB9" s="233"/>
      <c r="FC9" s="233"/>
      <c r="FD9" s="233"/>
      <c r="FE9" s="233"/>
      <c r="FF9" s="233"/>
      <c r="FG9" s="233"/>
      <c r="FH9" s="233"/>
      <c r="FI9" s="233"/>
      <c r="FJ9" s="233"/>
      <c r="FK9" s="233"/>
      <c r="FL9" s="233"/>
      <c r="FM9" s="233"/>
      <c r="FN9" s="233"/>
      <c r="FO9" s="233"/>
      <c r="FP9" s="233"/>
      <c r="FQ9" s="233"/>
      <c r="FR9" s="233"/>
      <c r="FS9" s="233"/>
      <c r="FT9" s="233"/>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c r="HW9" s="233"/>
      <c r="HX9" s="233"/>
      <c r="HY9" s="233"/>
      <c r="HZ9" s="233"/>
      <c r="IA9" s="233"/>
      <c r="IB9" s="233"/>
      <c r="IC9" s="233"/>
      <c r="ID9" s="233"/>
      <c r="IE9" s="233"/>
      <c r="IF9" s="233"/>
      <c r="IG9" s="233"/>
      <c r="IH9" s="233"/>
      <c r="II9" s="233"/>
      <c r="IJ9" s="233"/>
      <c r="IK9" s="233"/>
      <c r="IL9" s="233"/>
      <c r="IM9" s="233"/>
      <c r="IN9" s="233"/>
      <c r="IO9" s="233"/>
      <c r="IP9" s="233"/>
      <c r="IQ9" s="233"/>
      <c r="IR9" s="233"/>
      <c r="IS9" s="233"/>
      <c r="IT9" s="233"/>
      <c r="IU9" s="233"/>
      <c r="IV9" s="233"/>
      <c r="IW9" s="233"/>
      <c r="IX9" s="233"/>
      <c r="IY9" s="233"/>
      <c r="IZ9" s="233"/>
      <c r="JA9" s="233"/>
      <c r="JB9" s="233"/>
      <c r="JC9" s="233"/>
      <c r="JD9" s="233"/>
      <c r="JE9" s="233"/>
      <c r="JF9" s="233"/>
      <c r="JG9" s="233"/>
      <c r="JH9" s="233"/>
      <c r="JI9" s="233"/>
      <c r="JJ9" s="233"/>
      <c r="JK9" s="233"/>
      <c r="JL9" s="233"/>
      <c r="JM9" s="233"/>
      <c r="JN9" s="233"/>
      <c r="JO9" s="233"/>
      <c r="JP9" s="233"/>
      <c r="JQ9" s="233"/>
      <c r="JR9" s="233"/>
      <c r="JS9" s="233"/>
      <c r="JT9" s="233"/>
      <c r="JU9" s="233"/>
      <c r="JV9" s="233"/>
      <c r="JW9" s="233"/>
      <c r="JX9" s="233"/>
      <c r="JY9" s="233"/>
      <c r="JZ9" s="233"/>
      <c r="KA9" s="233"/>
      <c r="KB9" s="233"/>
      <c r="KC9" s="233"/>
      <c r="KD9" s="233"/>
      <c r="KE9" s="233"/>
      <c r="KF9" s="233"/>
      <c r="KG9" s="233"/>
      <c r="KH9" s="233"/>
      <c r="KI9" s="233"/>
      <c r="KJ9" s="233"/>
      <c r="KK9" s="233"/>
      <c r="KL9" s="233"/>
      <c r="KM9" s="233"/>
      <c r="KN9" s="233"/>
      <c r="KO9" s="233"/>
      <c r="KP9" s="233"/>
      <c r="KQ9" s="233"/>
      <c r="KR9" s="233"/>
      <c r="KS9" s="233"/>
      <c r="KT9" s="233"/>
      <c r="KU9" s="233"/>
      <c r="KV9" s="233"/>
      <c r="KW9" s="233"/>
      <c r="KX9" s="233"/>
      <c r="KY9" s="233"/>
      <c r="KZ9" s="233"/>
      <c r="LA9" s="233"/>
      <c r="LB9" s="233"/>
      <c r="LC9" s="233"/>
      <c r="LD9" s="233"/>
      <c r="LE9" s="233"/>
      <c r="LF9" s="233"/>
      <c r="LG9" s="233"/>
      <c r="LH9" s="233"/>
      <c r="LI9" s="233"/>
      <c r="LJ9" s="233"/>
      <c r="LK9" s="233"/>
      <c r="LL9" s="233"/>
      <c r="LM9" s="233"/>
      <c r="LN9" s="233"/>
      <c r="LO9" s="233"/>
      <c r="LP9" s="233"/>
      <c r="LQ9" s="233"/>
      <c r="LR9" s="233"/>
      <c r="LS9" s="233"/>
      <c r="LT9" s="233"/>
      <c r="LU9" s="233"/>
      <c r="LV9" s="233"/>
      <c r="LW9" s="233"/>
      <c r="LX9" s="233"/>
      <c r="LY9" s="233"/>
      <c r="LZ9" s="233"/>
      <c r="MA9" s="233"/>
    </row>
    <row r="10" spans="1:339" s="56" customFormat="1" ht="60" hidden="1" customHeight="1" outlineLevel="1" x14ac:dyDescent="0.25">
      <c r="A10" s="50" t="s">
        <v>1304</v>
      </c>
      <c r="B10" s="50" t="s">
        <v>1305</v>
      </c>
      <c r="C10" s="50" t="s">
        <v>1321</v>
      </c>
      <c r="D10" s="50" t="s">
        <v>1362</v>
      </c>
      <c r="E10" s="164" t="s">
        <v>2125</v>
      </c>
      <c r="F10" s="90" t="s">
        <v>243</v>
      </c>
      <c r="G10" s="90"/>
      <c r="H10" s="166"/>
      <c r="I10" s="15"/>
      <c r="J10" s="111" t="str">
        <f>IF(H10&gt;0,(H10*VLOOKUP(Lookups!$K$11,Lookups!$M$10:$P$43,4,0)/VLOOKUP(I10,Lookups!$M$10:$P$43,4,0)),"")</f>
        <v/>
      </c>
      <c r="K10" s="165"/>
      <c r="L10" s="15"/>
      <c r="M10" s="111" t="str">
        <f>IF(K10&gt;0,(K10*VLOOKUP(Lookups!$K$11,Lookups!$M$10:$P$43,4,0)/VLOOKUP(L10,Lookups!$M$10:$P$43,4,0)),"")</f>
        <v/>
      </c>
      <c r="N10" s="199">
        <f>0.199441479578755/100</f>
        <v>1.9944147957875499E-3</v>
      </c>
      <c r="O10" s="15" t="s">
        <v>1522</v>
      </c>
      <c r="P10" s="112">
        <f>IF(N10&gt;0,(N10*VLOOKUP(Lookups!$K$11,Lookups!$M$10:$P$43,4,0)/VLOOKUP(O10,Lookups!$M$10:$P$43,4,0)),"")</f>
        <v>1.9944147957875499E-3</v>
      </c>
      <c r="Q10" s="234" t="s">
        <v>1363</v>
      </c>
      <c r="R10" s="15" t="s">
        <v>154</v>
      </c>
      <c r="S10" s="174" t="s">
        <v>1368</v>
      </c>
      <c r="T10" s="15" t="s">
        <v>923</v>
      </c>
      <c r="U10" s="90" t="s">
        <v>3117</v>
      </c>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c r="BV10" s="233"/>
      <c r="BW10" s="233"/>
      <c r="BX10" s="233"/>
      <c r="BY10" s="233"/>
      <c r="BZ10" s="233"/>
      <c r="CA10" s="233"/>
      <c r="CB10" s="233"/>
      <c r="CC10" s="233"/>
      <c r="CD10" s="233"/>
      <c r="CE10" s="233"/>
      <c r="CF10" s="233"/>
      <c r="CG10" s="233"/>
      <c r="CH10" s="233"/>
      <c r="CI10" s="233"/>
      <c r="CJ10" s="233"/>
      <c r="CK10" s="233"/>
      <c r="CL10" s="233"/>
      <c r="CM10" s="233"/>
      <c r="CN10" s="233"/>
      <c r="CO10" s="233"/>
      <c r="CP10" s="233"/>
      <c r="CQ10" s="233"/>
      <c r="CR10" s="233"/>
      <c r="CS10" s="233"/>
      <c r="CT10" s="233"/>
      <c r="CU10" s="233"/>
      <c r="CV10" s="233"/>
      <c r="CW10" s="233"/>
      <c r="CX10" s="233"/>
      <c r="CY10" s="233"/>
      <c r="CZ10" s="233"/>
      <c r="DA10" s="233"/>
      <c r="DB10" s="233"/>
      <c r="DC10" s="233"/>
      <c r="DD10" s="233"/>
      <c r="DE10" s="233"/>
      <c r="DF10" s="233"/>
      <c r="DG10" s="233"/>
      <c r="DH10" s="233"/>
      <c r="DI10" s="233"/>
      <c r="DJ10" s="233"/>
      <c r="DK10" s="233"/>
      <c r="DL10" s="233"/>
      <c r="DM10" s="233"/>
      <c r="DN10" s="233"/>
      <c r="DO10" s="233"/>
      <c r="DP10" s="233"/>
      <c r="DQ10" s="233"/>
      <c r="DR10" s="233"/>
      <c r="DS10" s="233"/>
      <c r="DT10" s="233"/>
      <c r="DU10" s="233"/>
      <c r="DV10" s="233"/>
      <c r="DW10" s="233"/>
      <c r="DX10" s="233"/>
      <c r="DY10" s="233"/>
      <c r="DZ10" s="233"/>
      <c r="EA10" s="233"/>
      <c r="EB10" s="233"/>
      <c r="EC10" s="233"/>
      <c r="ED10" s="233"/>
      <c r="EE10" s="233"/>
      <c r="EF10" s="233"/>
      <c r="EG10" s="233"/>
      <c r="EH10" s="233"/>
      <c r="EI10" s="233"/>
      <c r="EJ10" s="233"/>
      <c r="EK10" s="233"/>
      <c r="EL10" s="233"/>
      <c r="EM10" s="233"/>
      <c r="EN10" s="233"/>
      <c r="EO10" s="233"/>
      <c r="EP10" s="233"/>
      <c r="EQ10" s="233"/>
      <c r="ER10" s="233"/>
      <c r="ES10" s="233"/>
      <c r="ET10" s="233"/>
      <c r="EU10" s="233"/>
      <c r="EV10" s="233"/>
      <c r="EW10" s="233"/>
      <c r="EX10" s="233"/>
      <c r="EY10" s="233"/>
      <c r="EZ10" s="233"/>
      <c r="FA10" s="233"/>
      <c r="FB10" s="233"/>
      <c r="FC10" s="233"/>
      <c r="FD10" s="233"/>
      <c r="FE10" s="233"/>
      <c r="FF10" s="233"/>
      <c r="FG10" s="233"/>
      <c r="FH10" s="233"/>
      <c r="FI10" s="233"/>
      <c r="FJ10" s="233"/>
      <c r="FK10" s="233"/>
      <c r="FL10" s="233"/>
      <c r="FM10" s="233"/>
      <c r="FN10" s="233"/>
      <c r="FO10" s="233"/>
      <c r="FP10" s="233"/>
      <c r="FQ10" s="233"/>
      <c r="FR10" s="233"/>
      <c r="FS10" s="233"/>
      <c r="FT10" s="233"/>
      <c r="FU10" s="233"/>
      <c r="FV10" s="233"/>
      <c r="FW10" s="233"/>
      <c r="FX10" s="233"/>
      <c r="FY10" s="233"/>
      <c r="FZ10" s="233"/>
      <c r="GA10" s="233"/>
      <c r="GB10" s="233"/>
      <c r="GC10" s="233"/>
      <c r="GD10" s="233"/>
      <c r="GE10" s="233"/>
      <c r="GF10" s="233"/>
      <c r="GG10" s="233"/>
      <c r="GH10" s="233"/>
      <c r="GI10" s="233"/>
      <c r="GJ10" s="233"/>
      <c r="GK10" s="233"/>
      <c r="GL10" s="233"/>
      <c r="GM10" s="233"/>
      <c r="GN10" s="233"/>
      <c r="GO10" s="233"/>
      <c r="GP10" s="233"/>
      <c r="GQ10" s="233"/>
      <c r="GR10" s="233"/>
      <c r="GS10" s="233"/>
      <c r="GT10" s="233"/>
      <c r="GU10" s="233"/>
      <c r="GV10" s="233"/>
      <c r="GW10" s="233"/>
      <c r="GX10" s="233"/>
      <c r="GY10" s="233"/>
      <c r="GZ10" s="233"/>
      <c r="HA10" s="233"/>
      <c r="HB10" s="233"/>
      <c r="HC10" s="233"/>
      <c r="HD10" s="233"/>
      <c r="HE10" s="233"/>
      <c r="HF10" s="233"/>
      <c r="HG10" s="233"/>
      <c r="HH10" s="233"/>
      <c r="HI10" s="233"/>
      <c r="HJ10" s="233"/>
      <c r="HK10" s="233"/>
      <c r="HL10" s="233"/>
      <c r="HM10" s="233"/>
      <c r="HN10" s="233"/>
      <c r="HO10" s="233"/>
      <c r="HP10" s="233"/>
      <c r="HQ10" s="233"/>
      <c r="HR10" s="233"/>
      <c r="HS10" s="233"/>
      <c r="HT10" s="233"/>
      <c r="HU10" s="233"/>
      <c r="HV10" s="233"/>
      <c r="HW10" s="233"/>
      <c r="HX10" s="233"/>
      <c r="HY10" s="233"/>
      <c r="HZ10" s="233"/>
      <c r="IA10" s="233"/>
      <c r="IB10" s="233"/>
      <c r="IC10" s="233"/>
      <c r="ID10" s="233"/>
      <c r="IE10" s="233"/>
      <c r="IF10" s="233"/>
      <c r="IG10" s="233"/>
      <c r="IH10" s="233"/>
      <c r="II10" s="233"/>
      <c r="IJ10" s="233"/>
      <c r="IK10" s="233"/>
      <c r="IL10" s="233"/>
      <c r="IM10" s="233"/>
      <c r="IN10" s="233"/>
      <c r="IO10" s="233"/>
      <c r="IP10" s="233"/>
      <c r="IQ10" s="233"/>
      <c r="IR10" s="233"/>
      <c r="IS10" s="233"/>
      <c r="IT10" s="233"/>
      <c r="IU10" s="233"/>
      <c r="IV10" s="233"/>
      <c r="IW10" s="233"/>
      <c r="IX10" s="233"/>
      <c r="IY10" s="233"/>
      <c r="IZ10" s="233"/>
      <c r="JA10" s="233"/>
      <c r="JB10" s="233"/>
      <c r="JC10" s="233"/>
      <c r="JD10" s="233"/>
      <c r="JE10" s="233"/>
      <c r="JF10" s="233"/>
      <c r="JG10" s="233"/>
      <c r="JH10" s="233"/>
      <c r="JI10" s="233"/>
      <c r="JJ10" s="233"/>
      <c r="JK10" s="233"/>
      <c r="JL10" s="233"/>
      <c r="JM10" s="233"/>
      <c r="JN10" s="233"/>
      <c r="JO10" s="233"/>
      <c r="JP10" s="233"/>
      <c r="JQ10" s="233"/>
      <c r="JR10" s="233"/>
      <c r="JS10" s="233"/>
      <c r="JT10" s="233"/>
      <c r="JU10" s="233"/>
      <c r="JV10" s="233"/>
      <c r="JW10" s="233"/>
      <c r="JX10" s="233"/>
      <c r="JY10" s="233"/>
      <c r="JZ10" s="233"/>
      <c r="KA10" s="233"/>
      <c r="KB10" s="233"/>
      <c r="KC10" s="233"/>
      <c r="KD10" s="233"/>
      <c r="KE10" s="233"/>
      <c r="KF10" s="233"/>
      <c r="KG10" s="233"/>
      <c r="KH10" s="233"/>
      <c r="KI10" s="233"/>
      <c r="KJ10" s="233"/>
      <c r="KK10" s="233"/>
      <c r="KL10" s="233"/>
      <c r="KM10" s="233"/>
      <c r="KN10" s="233"/>
      <c r="KO10" s="233"/>
      <c r="KP10" s="233"/>
      <c r="KQ10" s="233"/>
      <c r="KR10" s="233"/>
      <c r="KS10" s="233"/>
      <c r="KT10" s="233"/>
      <c r="KU10" s="233"/>
      <c r="KV10" s="233"/>
      <c r="KW10" s="233"/>
      <c r="KX10" s="233"/>
      <c r="KY10" s="233"/>
      <c r="KZ10" s="233"/>
      <c r="LA10" s="233"/>
      <c r="LB10" s="233"/>
      <c r="LC10" s="233"/>
      <c r="LD10" s="233"/>
      <c r="LE10" s="233"/>
      <c r="LF10" s="233"/>
      <c r="LG10" s="233"/>
      <c r="LH10" s="233"/>
      <c r="LI10" s="233"/>
      <c r="LJ10" s="233"/>
      <c r="LK10" s="233"/>
      <c r="LL10" s="233"/>
      <c r="LM10" s="233"/>
      <c r="LN10" s="233"/>
      <c r="LO10" s="233"/>
      <c r="LP10" s="233"/>
      <c r="LQ10" s="233"/>
      <c r="LR10" s="233"/>
      <c r="LS10" s="233"/>
      <c r="LT10" s="233"/>
      <c r="LU10" s="233"/>
      <c r="LV10" s="233"/>
      <c r="LW10" s="233"/>
      <c r="LX10" s="233"/>
      <c r="LY10" s="233"/>
      <c r="LZ10" s="233"/>
      <c r="MA10" s="233"/>
    </row>
    <row r="11" spans="1:339" s="56" customFormat="1" ht="60" hidden="1" customHeight="1" outlineLevel="1" x14ac:dyDescent="0.25">
      <c r="A11" s="50" t="s">
        <v>1304</v>
      </c>
      <c r="B11" s="50" t="s">
        <v>1305</v>
      </c>
      <c r="C11" s="50" t="s">
        <v>1322</v>
      </c>
      <c r="D11" s="50" t="s">
        <v>1311</v>
      </c>
      <c r="E11" s="164" t="s">
        <v>2125</v>
      </c>
      <c r="F11" s="90" t="s">
        <v>243</v>
      </c>
      <c r="G11" s="90"/>
      <c r="H11" s="165"/>
      <c r="I11" s="15"/>
      <c r="J11" s="111" t="str">
        <f>IF(H11&gt;0,(H11*VLOOKUP(Lookups!$K$11,Lookups!$M$10:$P$43,4,0)/VLOOKUP(I11,Lookups!$M$10:$P$43,4,0)),"")</f>
        <v/>
      </c>
      <c r="K11" s="165"/>
      <c r="L11" s="15"/>
      <c r="M11" s="111" t="str">
        <f>IF(K11&gt;0,(K11*VLOOKUP(Lookups!$K$11,Lookups!$M$10:$P$43,4,0)/VLOOKUP(L11,Lookups!$M$10:$P$43,4,0)),"")</f>
        <v/>
      </c>
      <c r="N11" s="198">
        <f>21.4247170960346/100</f>
        <v>0.21424717096034598</v>
      </c>
      <c r="O11" s="15" t="s">
        <v>1522</v>
      </c>
      <c r="P11" s="111">
        <f>IF(N11&gt;0,(N11*VLOOKUP(Lookups!$K$11,Lookups!$M$10:$P$43,4,0)/VLOOKUP(O11,Lookups!$M$10:$P$43,4,0)),"")</f>
        <v>0.21424717096034598</v>
      </c>
      <c r="Q11" s="234" t="s">
        <v>1312</v>
      </c>
      <c r="R11" s="15" t="s">
        <v>154</v>
      </c>
      <c r="S11" s="174" t="s">
        <v>2704</v>
      </c>
      <c r="T11" s="15" t="s">
        <v>923</v>
      </c>
      <c r="U11" s="90" t="s">
        <v>3117</v>
      </c>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233"/>
      <c r="DJ11" s="233"/>
      <c r="DK11" s="233"/>
      <c r="DL11" s="233"/>
      <c r="DM11" s="233"/>
      <c r="DN11" s="233"/>
      <c r="DO11" s="233"/>
      <c r="DP11" s="233"/>
      <c r="DQ11" s="233"/>
      <c r="DR11" s="233"/>
      <c r="DS11" s="233"/>
      <c r="DT11" s="233"/>
      <c r="DU11" s="233"/>
      <c r="DV11" s="233"/>
      <c r="DW11" s="233"/>
      <c r="DX11" s="233"/>
      <c r="DY11" s="233"/>
      <c r="DZ11" s="233"/>
      <c r="EA11" s="233"/>
      <c r="EB11" s="233"/>
      <c r="EC11" s="233"/>
      <c r="ED11" s="233"/>
      <c r="EE11" s="233"/>
      <c r="EF11" s="233"/>
      <c r="EG11" s="233"/>
      <c r="EH11" s="233"/>
      <c r="EI11" s="233"/>
      <c r="EJ11" s="233"/>
      <c r="EK11" s="233"/>
      <c r="EL11" s="233"/>
      <c r="EM11" s="233"/>
      <c r="EN11" s="233"/>
      <c r="EO11" s="233"/>
      <c r="EP11" s="233"/>
      <c r="EQ11" s="233"/>
      <c r="ER11" s="233"/>
      <c r="ES11" s="233"/>
      <c r="ET11" s="233"/>
      <c r="EU11" s="233"/>
      <c r="EV11" s="233"/>
      <c r="EW11" s="233"/>
      <c r="EX11" s="233"/>
      <c r="EY11" s="233"/>
      <c r="EZ11" s="233"/>
      <c r="FA11" s="233"/>
      <c r="FB11" s="233"/>
      <c r="FC11" s="233"/>
      <c r="FD11" s="233"/>
      <c r="FE11" s="233"/>
      <c r="FF11" s="233"/>
      <c r="FG11" s="233"/>
      <c r="FH11" s="233"/>
      <c r="FI11" s="233"/>
      <c r="FJ11" s="233"/>
      <c r="FK11" s="233"/>
      <c r="FL11" s="233"/>
      <c r="FM11" s="233"/>
      <c r="FN11" s="233"/>
      <c r="FO11" s="233"/>
      <c r="FP11" s="233"/>
      <c r="FQ11" s="233"/>
      <c r="FR11" s="233"/>
      <c r="FS11" s="233"/>
      <c r="FT11" s="233"/>
      <c r="FU11" s="233"/>
      <c r="FV11" s="233"/>
      <c r="FW11" s="233"/>
      <c r="FX11" s="233"/>
      <c r="FY11" s="233"/>
      <c r="FZ11" s="233"/>
      <c r="GA11" s="233"/>
      <c r="GB11" s="233"/>
      <c r="GC11" s="233"/>
      <c r="GD11" s="233"/>
      <c r="GE11" s="233"/>
      <c r="GF11" s="233"/>
      <c r="GG11" s="233"/>
      <c r="GH11" s="233"/>
      <c r="GI11" s="233"/>
      <c r="GJ11" s="233"/>
      <c r="GK11" s="233"/>
      <c r="GL11" s="233"/>
      <c r="GM11" s="233"/>
      <c r="GN11" s="233"/>
      <c r="GO11" s="233"/>
      <c r="GP11" s="233"/>
      <c r="GQ11" s="233"/>
      <c r="GR11" s="233"/>
      <c r="GS11" s="233"/>
      <c r="GT11" s="233"/>
      <c r="GU11" s="233"/>
      <c r="GV11" s="233"/>
      <c r="GW11" s="233"/>
      <c r="GX11" s="233"/>
      <c r="GY11" s="233"/>
      <c r="GZ11" s="233"/>
      <c r="HA11" s="233"/>
      <c r="HB11" s="233"/>
      <c r="HC11" s="233"/>
      <c r="HD11" s="233"/>
      <c r="HE11" s="233"/>
      <c r="HF11" s="233"/>
      <c r="HG11" s="233"/>
      <c r="HH11" s="233"/>
      <c r="HI11" s="233"/>
      <c r="HJ11" s="233"/>
      <c r="HK11" s="233"/>
      <c r="HL11" s="233"/>
      <c r="HM11" s="233"/>
      <c r="HN11" s="233"/>
      <c r="HO11" s="233"/>
      <c r="HP11" s="233"/>
      <c r="HQ11" s="233"/>
      <c r="HR11" s="233"/>
      <c r="HS11" s="233"/>
      <c r="HT11" s="233"/>
      <c r="HU11" s="233"/>
      <c r="HV11" s="233"/>
      <c r="HW11" s="233"/>
      <c r="HX11" s="233"/>
      <c r="HY11" s="233"/>
      <c r="HZ11" s="233"/>
      <c r="IA11" s="233"/>
      <c r="IB11" s="233"/>
      <c r="IC11" s="233"/>
      <c r="ID11" s="233"/>
      <c r="IE11" s="233"/>
      <c r="IF11" s="233"/>
      <c r="IG11" s="233"/>
      <c r="IH11" s="233"/>
      <c r="II11" s="233"/>
      <c r="IJ11" s="233"/>
      <c r="IK11" s="233"/>
      <c r="IL11" s="233"/>
      <c r="IM11" s="233"/>
      <c r="IN11" s="233"/>
      <c r="IO11" s="233"/>
      <c r="IP11" s="233"/>
      <c r="IQ11" s="233"/>
      <c r="IR11" s="233"/>
      <c r="IS11" s="233"/>
      <c r="IT11" s="233"/>
      <c r="IU11" s="233"/>
      <c r="IV11" s="233"/>
      <c r="IW11" s="233"/>
      <c r="IX11" s="233"/>
      <c r="IY11" s="233"/>
      <c r="IZ11" s="233"/>
      <c r="JA11" s="233"/>
      <c r="JB11" s="233"/>
      <c r="JC11" s="233"/>
      <c r="JD11" s="233"/>
      <c r="JE11" s="233"/>
      <c r="JF11" s="233"/>
      <c r="JG11" s="233"/>
      <c r="JH11" s="233"/>
      <c r="JI11" s="233"/>
      <c r="JJ11" s="233"/>
      <c r="JK11" s="233"/>
      <c r="JL11" s="233"/>
      <c r="JM11" s="233"/>
      <c r="JN11" s="233"/>
      <c r="JO11" s="233"/>
      <c r="JP11" s="233"/>
      <c r="JQ11" s="233"/>
      <c r="JR11" s="233"/>
      <c r="JS11" s="233"/>
      <c r="JT11" s="233"/>
      <c r="JU11" s="233"/>
      <c r="JV11" s="233"/>
      <c r="JW11" s="233"/>
      <c r="JX11" s="233"/>
      <c r="JY11" s="233"/>
      <c r="JZ11" s="233"/>
      <c r="KA11" s="233"/>
      <c r="KB11" s="233"/>
      <c r="KC11" s="233"/>
      <c r="KD11" s="233"/>
      <c r="KE11" s="233"/>
      <c r="KF11" s="233"/>
      <c r="KG11" s="233"/>
      <c r="KH11" s="233"/>
      <c r="KI11" s="233"/>
      <c r="KJ11" s="233"/>
      <c r="KK11" s="233"/>
      <c r="KL11" s="233"/>
      <c r="KM11" s="233"/>
      <c r="KN11" s="233"/>
      <c r="KO11" s="233"/>
      <c r="KP11" s="233"/>
      <c r="KQ11" s="233"/>
      <c r="KR11" s="233"/>
      <c r="KS11" s="233"/>
      <c r="KT11" s="233"/>
      <c r="KU11" s="233"/>
      <c r="KV11" s="233"/>
      <c r="KW11" s="233"/>
      <c r="KX11" s="233"/>
      <c r="KY11" s="233"/>
      <c r="KZ11" s="233"/>
      <c r="LA11" s="233"/>
      <c r="LB11" s="233"/>
      <c r="LC11" s="233"/>
      <c r="LD11" s="233"/>
      <c r="LE11" s="233"/>
      <c r="LF11" s="233"/>
      <c r="LG11" s="233"/>
      <c r="LH11" s="233"/>
      <c r="LI11" s="233"/>
      <c r="LJ11" s="233"/>
      <c r="LK11" s="233"/>
      <c r="LL11" s="233"/>
      <c r="LM11" s="233"/>
      <c r="LN11" s="233"/>
      <c r="LO11" s="233"/>
      <c r="LP11" s="233"/>
      <c r="LQ11" s="233"/>
      <c r="LR11" s="233"/>
      <c r="LS11" s="233"/>
      <c r="LT11" s="233"/>
      <c r="LU11" s="233"/>
      <c r="LV11" s="233"/>
      <c r="LW11" s="233"/>
      <c r="LX11" s="233"/>
      <c r="LY11" s="233"/>
      <c r="LZ11" s="233"/>
      <c r="MA11" s="233"/>
    </row>
    <row r="12" spans="1:339" s="56" customFormat="1" ht="60" hidden="1" customHeight="1" outlineLevel="1" x14ac:dyDescent="0.25">
      <c r="A12" s="50" t="s">
        <v>1304</v>
      </c>
      <c r="B12" s="50" t="s">
        <v>1305</v>
      </c>
      <c r="C12" s="50" t="s">
        <v>1323</v>
      </c>
      <c r="D12" s="50" t="s">
        <v>1316</v>
      </c>
      <c r="E12" s="164" t="s">
        <v>2125</v>
      </c>
      <c r="F12" s="90" t="s">
        <v>243</v>
      </c>
      <c r="G12" s="90"/>
      <c r="H12" s="165"/>
      <c r="I12" s="15"/>
      <c r="J12" s="111" t="str">
        <f>IF(H12&gt;0,(H12*VLOOKUP(Lookups!$K$11,Lookups!$M$10:$P$43,4,0)/VLOOKUP(I12,Lookups!$M$10:$P$43,4,0)),"")</f>
        <v/>
      </c>
      <c r="K12" s="165"/>
      <c r="L12" s="15"/>
      <c r="M12" s="111" t="str">
        <f>IF(K12&gt;0,(K12*VLOOKUP(Lookups!$K$11,Lookups!$M$10:$P$43,4,0)/VLOOKUP(L12,Lookups!$M$10:$P$43,4,0)),"")</f>
        <v/>
      </c>
      <c r="N12" s="198">
        <f>14.8350907466193/100</f>
        <v>0.148350907466193</v>
      </c>
      <c r="O12" s="15" t="s">
        <v>1522</v>
      </c>
      <c r="P12" s="111">
        <f>IF(N12&gt;0,(N12*VLOOKUP(Lookups!$K$11,Lookups!$M$10:$P$43,4,0)/VLOOKUP(O12,Lookups!$M$10:$P$43,4,0)),"")</f>
        <v>0.148350907466193</v>
      </c>
      <c r="Q12" s="234" t="s">
        <v>1312</v>
      </c>
      <c r="R12" s="15" t="s">
        <v>154</v>
      </c>
      <c r="S12" s="174" t="s">
        <v>2705</v>
      </c>
      <c r="T12" s="15" t="s">
        <v>923</v>
      </c>
      <c r="U12" s="90" t="s">
        <v>3117</v>
      </c>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3"/>
      <c r="EJ12" s="233"/>
      <c r="EK12" s="233"/>
      <c r="EL12" s="233"/>
      <c r="EM12" s="233"/>
      <c r="EN12" s="233"/>
      <c r="EO12" s="233"/>
      <c r="EP12" s="233"/>
      <c r="EQ12" s="233"/>
      <c r="ER12" s="233"/>
      <c r="ES12" s="233"/>
      <c r="ET12" s="233"/>
      <c r="EU12" s="233"/>
      <c r="EV12" s="233"/>
      <c r="EW12" s="233"/>
      <c r="EX12" s="233"/>
      <c r="EY12" s="233"/>
      <c r="EZ12" s="233"/>
      <c r="FA12" s="233"/>
      <c r="FB12" s="233"/>
      <c r="FC12" s="233"/>
      <c r="FD12" s="233"/>
      <c r="FE12" s="233"/>
      <c r="FF12" s="233"/>
      <c r="FG12" s="233"/>
      <c r="FH12" s="233"/>
      <c r="FI12" s="233"/>
      <c r="FJ12" s="233"/>
      <c r="FK12" s="233"/>
      <c r="FL12" s="233"/>
      <c r="FM12" s="233"/>
      <c r="FN12" s="233"/>
      <c r="FO12" s="233"/>
      <c r="FP12" s="233"/>
      <c r="FQ12" s="233"/>
      <c r="FR12" s="233"/>
      <c r="FS12" s="233"/>
      <c r="FT12" s="233"/>
      <c r="FU12" s="233"/>
      <c r="FV12" s="233"/>
      <c r="FW12" s="233"/>
      <c r="FX12" s="233"/>
      <c r="FY12" s="233"/>
      <c r="FZ12" s="233"/>
      <c r="GA12" s="233"/>
      <c r="GB12" s="233"/>
      <c r="GC12" s="233"/>
      <c r="GD12" s="233"/>
      <c r="GE12" s="233"/>
      <c r="GF12" s="233"/>
      <c r="GG12" s="233"/>
      <c r="GH12" s="233"/>
      <c r="GI12" s="233"/>
      <c r="GJ12" s="233"/>
      <c r="GK12" s="233"/>
      <c r="GL12" s="233"/>
      <c r="GM12" s="233"/>
      <c r="GN12" s="233"/>
      <c r="GO12" s="233"/>
      <c r="GP12" s="233"/>
      <c r="GQ12" s="233"/>
      <c r="GR12" s="233"/>
      <c r="GS12" s="233"/>
      <c r="GT12" s="233"/>
      <c r="GU12" s="233"/>
      <c r="GV12" s="233"/>
      <c r="GW12" s="233"/>
      <c r="GX12" s="233"/>
      <c r="GY12" s="233"/>
      <c r="GZ12" s="233"/>
      <c r="HA12" s="233"/>
      <c r="HB12" s="233"/>
      <c r="HC12" s="233"/>
      <c r="HD12" s="233"/>
      <c r="HE12" s="233"/>
      <c r="HF12" s="233"/>
      <c r="HG12" s="233"/>
      <c r="HH12" s="233"/>
      <c r="HI12" s="233"/>
      <c r="HJ12" s="233"/>
      <c r="HK12" s="233"/>
      <c r="HL12" s="233"/>
      <c r="HM12" s="233"/>
      <c r="HN12" s="233"/>
      <c r="HO12" s="233"/>
      <c r="HP12" s="233"/>
      <c r="HQ12" s="233"/>
      <c r="HR12" s="233"/>
      <c r="HS12" s="233"/>
      <c r="HT12" s="233"/>
      <c r="HU12" s="233"/>
      <c r="HV12" s="233"/>
      <c r="HW12" s="233"/>
      <c r="HX12" s="233"/>
      <c r="HY12" s="233"/>
      <c r="HZ12" s="233"/>
      <c r="IA12" s="233"/>
      <c r="IB12" s="233"/>
      <c r="IC12" s="233"/>
      <c r="ID12" s="233"/>
      <c r="IE12" s="233"/>
      <c r="IF12" s="233"/>
      <c r="IG12" s="233"/>
      <c r="IH12" s="233"/>
      <c r="II12" s="233"/>
      <c r="IJ12" s="233"/>
      <c r="IK12" s="233"/>
      <c r="IL12" s="233"/>
      <c r="IM12" s="233"/>
      <c r="IN12" s="233"/>
      <c r="IO12" s="233"/>
      <c r="IP12" s="233"/>
      <c r="IQ12" s="233"/>
      <c r="IR12" s="233"/>
      <c r="IS12" s="233"/>
      <c r="IT12" s="233"/>
      <c r="IU12" s="233"/>
      <c r="IV12" s="233"/>
      <c r="IW12" s="233"/>
      <c r="IX12" s="233"/>
      <c r="IY12" s="233"/>
      <c r="IZ12" s="233"/>
      <c r="JA12" s="233"/>
      <c r="JB12" s="233"/>
      <c r="JC12" s="233"/>
      <c r="JD12" s="233"/>
      <c r="JE12" s="233"/>
      <c r="JF12" s="233"/>
      <c r="JG12" s="233"/>
      <c r="JH12" s="233"/>
      <c r="JI12" s="233"/>
      <c r="JJ12" s="233"/>
      <c r="JK12" s="233"/>
      <c r="JL12" s="233"/>
      <c r="JM12" s="233"/>
      <c r="JN12" s="233"/>
      <c r="JO12" s="233"/>
      <c r="JP12" s="233"/>
      <c r="JQ12" s="233"/>
      <c r="JR12" s="233"/>
      <c r="JS12" s="233"/>
      <c r="JT12" s="233"/>
      <c r="JU12" s="233"/>
      <c r="JV12" s="233"/>
      <c r="JW12" s="233"/>
      <c r="JX12" s="233"/>
      <c r="JY12" s="233"/>
      <c r="JZ12" s="233"/>
      <c r="KA12" s="233"/>
      <c r="KB12" s="233"/>
      <c r="KC12" s="233"/>
      <c r="KD12" s="233"/>
      <c r="KE12" s="233"/>
      <c r="KF12" s="233"/>
      <c r="KG12" s="233"/>
      <c r="KH12" s="233"/>
      <c r="KI12" s="233"/>
      <c r="KJ12" s="233"/>
      <c r="KK12" s="233"/>
      <c r="KL12" s="233"/>
      <c r="KM12" s="233"/>
      <c r="KN12" s="233"/>
      <c r="KO12" s="233"/>
      <c r="KP12" s="233"/>
      <c r="KQ12" s="233"/>
      <c r="KR12" s="233"/>
      <c r="KS12" s="233"/>
      <c r="KT12" s="233"/>
      <c r="KU12" s="233"/>
      <c r="KV12" s="233"/>
      <c r="KW12" s="233"/>
      <c r="KX12" s="233"/>
      <c r="KY12" s="233"/>
      <c r="KZ12" s="233"/>
      <c r="LA12" s="233"/>
      <c r="LB12" s="233"/>
      <c r="LC12" s="233"/>
      <c r="LD12" s="233"/>
      <c r="LE12" s="233"/>
      <c r="LF12" s="233"/>
      <c r="LG12" s="233"/>
      <c r="LH12" s="233"/>
      <c r="LI12" s="233"/>
      <c r="LJ12" s="233"/>
      <c r="LK12" s="233"/>
      <c r="LL12" s="233"/>
      <c r="LM12" s="233"/>
      <c r="LN12" s="233"/>
      <c r="LO12" s="233"/>
      <c r="LP12" s="233"/>
      <c r="LQ12" s="233"/>
      <c r="LR12" s="233"/>
      <c r="LS12" s="233"/>
      <c r="LT12" s="233"/>
      <c r="LU12" s="233"/>
      <c r="LV12" s="233"/>
      <c r="LW12" s="233"/>
      <c r="LX12" s="233"/>
      <c r="LY12" s="233"/>
      <c r="LZ12" s="233"/>
      <c r="MA12" s="233"/>
    </row>
    <row r="13" spans="1:339" s="56" customFormat="1" ht="60" hidden="1" customHeight="1" outlineLevel="1" x14ac:dyDescent="0.25">
      <c r="A13" s="50" t="s">
        <v>1304</v>
      </c>
      <c r="B13" s="50" t="s">
        <v>1305</v>
      </c>
      <c r="C13" s="50" t="s">
        <v>1361</v>
      </c>
      <c r="D13" s="50" t="s">
        <v>1317</v>
      </c>
      <c r="E13" s="164" t="s">
        <v>2125</v>
      </c>
      <c r="F13" s="90" t="s">
        <v>243</v>
      </c>
      <c r="G13" s="90"/>
      <c r="H13" s="165"/>
      <c r="I13" s="15"/>
      <c r="J13" s="111" t="str">
        <f>IF(H13&gt;0,(H13*VLOOKUP(Lookups!$K$11,Lookups!$M$10:$P$43,4,0)/VLOOKUP(I13,Lookups!$M$10:$P$43,4,0)),"")</f>
        <v/>
      </c>
      <c r="K13" s="165"/>
      <c r="L13" s="15"/>
      <c r="M13" s="111" t="str">
        <f>IF(K13&gt;0,(K13*VLOOKUP(Lookups!$K$11,Lookups!$M$10:$P$43,4,0)/VLOOKUP(L13,Lookups!$M$10:$P$43,4,0)),"")</f>
        <v/>
      </c>
      <c r="N13" s="198">
        <f>12.669866107464/100</f>
        <v>0.12669866107464001</v>
      </c>
      <c r="O13" s="15" t="s">
        <v>1522</v>
      </c>
      <c r="P13" s="111">
        <f>IF(N13&gt;0,(N13*VLOOKUP(Lookups!$K$11,Lookups!$M$10:$P$43,4,0)/VLOOKUP(O13,Lookups!$M$10:$P$43,4,0)),"")</f>
        <v>0.12669866107464001</v>
      </c>
      <c r="Q13" s="234" t="s">
        <v>1312</v>
      </c>
      <c r="R13" s="15" t="s">
        <v>154</v>
      </c>
      <c r="S13" s="174" t="s">
        <v>2706</v>
      </c>
      <c r="T13" s="15" t="s">
        <v>923</v>
      </c>
      <c r="U13" s="90" t="s">
        <v>3117</v>
      </c>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3"/>
      <c r="DO13" s="233"/>
      <c r="DP13" s="233"/>
      <c r="DQ13" s="233"/>
      <c r="DR13" s="233"/>
      <c r="DS13" s="233"/>
      <c r="DT13" s="233"/>
      <c r="DU13" s="233"/>
      <c r="DV13" s="233"/>
      <c r="DW13" s="233"/>
      <c r="DX13" s="233"/>
      <c r="DY13" s="233"/>
      <c r="DZ13" s="233"/>
      <c r="EA13" s="233"/>
      <c r="EB13" s="233"/>
      <c r="EC13" s="233"/>
      <c r="ED13" s="233"/>
      <c r="EE13" s="233"/>
      <c r="EF13" s="233"/>
      <c r="EG13" s="233"/>
      <c r="EH13" s="233"/>
      <c r="EI13" s="233"/>
      <c r="EJ13" s="233"/>
      <c r="EK13" s="233"/>
      <c r="EL13" s="233"/>
      <c r="EM13" s="233"/>
      <c r="EN13" s="233"/>
      <c r="EO13" s="233"/>
      <c r="EP13" s="233"/>
      <c r="EQ13" s="233"/>
      <c r="ER13" s="233"/>
      <c r="ES13" s="233"/>
      <c r="ET13" s="233"/>
      <c r="EU13" s="233"/>
      <c r="EV13" s="233"/>
      <c r="EW13" s="233"/>
      <c r="EX13" s="233"/>
      <c r="EY13" s="233"/>
      <c r="EZ13" s="233"/>
      <c r="FA13" s="233"/>
      <c r="FB13" s="233"/>
      <c r="FC13" s="233"/>
      <c r="FD13" s="233"/>
      <c r="FE13" s="233"/>
      <c r="FF13" s="233"/>
      <c r="FG13" s="233"/>
      <c r="FH13" s="233"/>
      <c r="FI13" s="233"/>
      <c r="FJ13" s="233"/>
      <c r="FK13" s="233"/>
      <c r="FL13" s="233"/>
      <c r="FM13" s="233"/>
      <c r="FN13" s="233"/>
      <c r="FO13" s="233"/>
      <c r="FP13" s="233"/>
      <c r="FQ13" s="233"/>
      <c r="FR13" s="233"/>
      <c r="FS13" s="233"/>
      <c r="FT13" s="233"/>
      <c r="FU13" s="233"/>
      <c r="FV13" s="233"/>
      <c r="FW13" s="233"/>
      <c r="FX13" s="233"/>
      <c r="FY13" s="233"/>
      <c r="FZ13" s="233"/>
      <c r="GA13" s="233"/>
      <c r="GB13" s="233"/>
      <c r="GC13" s="233"/>
      <c r="GD13" s="233"/>
      <c r="GE13" s="233"/>
      <c r="GF13" s="233"/>
      <c r="GG13" s="233"/>
      <c r="GH13" s="233"/>
      <c r="GI13" s="233"/>
      <c r="GJ13" s="233"/>
      <c r="GK13" s="233"/>
      <c r="GL13" s="233"/>
      <c r="GM13" s="233"/>
      <c r="GN13" s="233"/>
      <c r="GO13" s="233"/>
      <c r="GP13" s="233"/>
      <c r="GQ13" s="233"/>
      <c r="GR13" s="233"/>
      <c r="GS13" s="233"/>
      <c r="GT13" s="233"/>
      <c r="GU13" s="233"/>
      <c r="GV13" s="233"/>
      <c r="GW13" s="233"/>
      <c r="GX13" s="233"/>
      <c r="GY13" s="233"/>
      <c r="GZ13" s="233"/>
      <c r="HA13" s="233"/>
      <c r="HB13" s="233"/>
      <c r="HC13" s="233"/>
      <c r="HD13" s="233"/>
      <c r="HE13" s="233"/>
      <c r="HF13" s="233"/>
      <c r="HG13" s="233"/>
      <c r="HH13" s="233"/>
      <c r="HI13" s="233"/>
      <c r="HJ13" s="233"/>
      <c r="HK13" s="233"/>
      <c r="HL13" s="233"/>
      <c r="HM13" s="233"/>
      <c r="HN13" s="233"/>
      <c r="HO13" s="233"/>
      <c r="HP13" s="233"/>
      <c r="HQ13" s="233"/>
      <c r="HR13" s="233"/>
      <c r="HS13" s="233"/>
      <c r="HT13" s="233"/>
      <c r="HU13" s="233"/>
      <c r="HV13" s="233"/>
      <c r="HW13" s="233"/>
      <c r="HX13" s="233"/>
      <c r="HY13" s="233"/>
      <c r="HZ13" s="233"/>
      <c r="IA13" s="233"/>
      <c r="IB13" s="233"/>
      <c r="IC13" s="233"/>
      <c r="ID13" s="233"/>
      <c r="IE13" s="233"/>
      <c r="IF13" s="233"/>
      <c r="IG13" s="233"/>
      <c r="IH13" s="233"/>
      <c r="II13" s="233"/>
      <c r="IJ13" s="233"/>
      <c r="IK13" s="233"/>
      <c r="IL13" s="233"/>
      <c r="IM13" s="233"/>
      <c r="IN13" s="233"/>
      <c r="IO13" s="233"/>
      <c r="IP13" s="233"/>
      <c r="IQ13" s="233"/>
      <c r="IR13" s="233"/>
      <c r="IS13" s="233"/>
      <c r="IT13" s="233"/>
      <c r="IU13" s="233"/>
      <c r="IV13" s="233"/>
      <c r="IW13" s="233"/>
      <c r="IX13" s="233"/>
      <c r="IY13" s="233"/>
      <c r="IZ13" s="233"/>
      <c r="JA13" s="233"/>
      <c r="JB13" s="233"/>
      <c r="JC13" s="233"/>
      <c r="JD13" s="233"/>
      <c r="JE13" s="233"/>
      <c r="JF13" s="233"/>
      <c r="JG13" s="233"/>
      <c r="JH13" s="233"/>
      <c r="JI13" s="233"/>
      <c r="JJ13" s="233"/>
      <c r="JK13" s="233"/>
      <c r="JL13" s="233"/>
      <c r="JM13" s="233"/>
      <c r="JN13" s="233"/>
      <c r="JO13" s="233"/>
      <c r="JP13" s="233"/>
      <c r="JQ13" s="233"/>
      <c r="JR13" s="233"/>
      <c r="JS13" s="233"/>
      <c r="JT13" s="233"/>
      <c r="JU13" s="233"/>
      <c r="JV13" s="233"/>
      <c r="JW13" s="233"/>
      <c r="JX13" s="233"/>
      <c r="JY13" s="233"/>
      <c r="JZ13" s="233"/>
      <c r="KA13" s="233"/>
      <c r="KB13" s="233"/>
      <c r="KC13" s="233"/>
      <c r="KD13" s="233"/>
      <c r="KE13" s="233"/>
      <c r="KF13" s="233"/>
      <c r="KG13" s="233"/>
      <c r="KH13" s="233"/>
      <c r="KI13" s="233"/>
      <c r="KJ13" s="233"/>
      <c r="KK13" s="233"/>
      <c r="KL13" s="233"/>
      <c r="KM13" s="233"/>
      <c r="KN13" s="233"/>
      <c r="KO13" s="233"/>
      <c r="KP13" s="233"/>
      <c r="KQ13" s="233"/>
      <c r="KR13" s="233"/>
      <c r="KS13" s="233"/>
      <c r="KT13" s="233"/>
      <c r="KU13" s="233"/>
      <c r="KV13" s="233"/>
      <c r="KW13" s="233"/>
      <c r="KX13" s="233"/>
      <c r="KY13" s="233"/>
      <c r="KZ13" s="233"/>
      <c r="LA13" s="233"/>
      <c r="LB13" s="233"/>
      <c r="LC13" s="233"/>
      <c r="LD13" s="233"/>
      <c r="LE13" s="233"/>
      <c r="LF13" s="233"/>
      <c r="LG13" s="233"/>
      <c r="LH13" s="233"/>
      <c r="LI13" s="233"/>
      <c r="LJ13" s="233"/>
      <c r="LK13" s="233"/>
      <c r="LL13" s="233"/>
      <c r="LM13" s="233"/>
      <c r="LN13" s="233"/>
      <c r="LO13" s="233"/>
      <c r="LP13" s="233"/>
      <c r="LQ13" s="233"/>
      <c r="LR13" s="233"/>
      <c r="LS13" s="233"/>
      <c r="LT13" s="233"/>
      <c r="LU13" s="233"/>
      <c r="LV13" s="233"/>
      <c r="LW13" s="233"/>
      <c r="LX13" s="233"/>
      <c r="LY13" s="233"/>
      <c r="LZ13" s="233"/>
      <c r="MA13" s="233"/>
    </row>
    <row r="14" spans="1:339" s="56" customFormat="1" ht="60" customHeight="1" collapsed="1" x14ac:dyDescent="0.25">
      <c r="A14" s="40" t="s">
        <v>1304</v>
      </c>
      <c r="B14" s="40" t="s">
        <v>1305</v>
      </c>
      <c r="C14" s="48" t="s">
        <v>1326</v>
      </c>
      <c r="D14" s="40" t="s">
        <v>1327</v>
      </c>
      <c r="E14" s="164" t="s">
        <v>2125</v>
      </c>
      <c r="F14" s="90" t="s">
        <v>243</v>
      </c>
      <c r="G14" s="90"/>
      <c r="H14" s="165"/>
      <c r="I14" s="15"/>
      <c r="J14" s="111" t="str">
        <f>IF(H14&gt;0,(H14*VLOOKUP(Lookups!$K$11,Lookups!$M$10:$P$43,4,0)/VLOOKUP(I14,Lookups!$M$10:$P$43,4,0)),"")</f>
        <v/>
      </c>
      <c r="K14" s="198">
        <f>1.95777165059613/100</f>
        <v>1.9577716505961299E-2</v>
      </c>
      <c r="L14" s="15" t="s">
        <v>1522</v>
      </c>
      <c r="M14" s="111">
        <f>IF(K14&gt;0,(K14*VLOOKUP(Lookups!$K$11,Lookups!$M$10:$P$43,4,0)/VLOOKUP(L14,Lookups!$M$10:$P$43,4,0)),"")</f>
        <v>1.9577716505961299E-2</v>
      </c>
      <c r="N14" s="165"/>
      <c r="O14" s="15"/>
      <c r="P14" s="111" t="str">
        <f>IF(N14&gt;0,(N14*VLOOKUP(Lookups!$K$11,Lookups!$M$10:$P$43,4,0)/VLOOKUP(O14,Lookups!$M$10:$P$43,4,0)),"")</f>
        <v/>
      </c>
      <c r="Q14" s="234" t="s">
        <v>1332</v>
      </c>
      <c r="R14" s="15" t="s">
        <v>154</v>
      </c>
      <c r="S14" s="107" t="s">
        <v>2707</v>
      </c>
      <c r="T14" s="15" t="s">
        <v>923</v>
      </c>
      <c r="U14" s="90" t="s">
        <v>3117</v>
      </c>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233"/>
      <c r="DC14" s="233"/>
      <c r="DD14" s="233"/>
      <c r="DE14" s="233"/>
      <c r="DF14" s="233"/>
      <c r="DG14" s="233"/>
      <c r="DH14" s="233"/>
      <c r="DI14" s="233"/>
      <c r="DJ14" s="233"/>
      <c r="DK14" s="233"/>
      <c r="DL14" s="233"/>
      <c r="DM14" s="233"/>
      <c r="DN14" s="233"/>
      <c r="DO14" s="233"/>
      <c r="DP14" s="233"/>
      <c r="DQ14" s="233"/>
      <c r="DR14" s="233"/>
      <c r="DS14" s="233"/>
      <c r="DT14" s="233"/>
      <c r="DU14" s="233"/>
      <c r="DV14" s="233"/>
      <c r="DW14" s="233"/>
      <c r="DX14" s="233"/>
      <c r="DY14" s="233"/>
      <c r="DZ14" s="233"/>
      <c r="EA14" s="233"/>
      <c r="EB14" s="233"/>
      <c r="EC14" s="233"/>
      <c r="ED14" s="233"/>
      <c r="EE14" s="233"/>
      <c r="EF14" s="233"/>
      <c r="EG14" s="233"/>
      <c r="EH14" s="233"/>
      <c r="EI14" s="233"/>
      <c r="EJ14" s="233"/>
      <c r="EK14" s="233"/>
      <c r="EL14" s="233"/>
      <c r="EM14" s="233"/>
      <c r="EN14" s="233"/>
      <c r="EO14" s="233"/>
      <c r="EP14" s="233"/>
      <c r="EQ14" s="233"/>
      <c r="ER14" s="233"/>
      <c r="ES14" s="233"/>
      <c r="ET14" s="233"/>
      <c r="EU14" s="233"/>
      <c r="EV14" s="233"/>
      <c r="EW14" s="233"/>
      <c r="EX14" s="233"/>
      <c r="EY14" s="233"/>
      <c r="EZ14" s="233"/>
      <c r="FA14" s="233"/>
      <c r="FB14" s="233"/>
      <c r="FC14" s="233"/>
      <c r="FD14" s="233"/>
      <c r="FE14" s="233"/>
      <c r="FF14" s="233"/>
      <c r="FG14" s="233"/>
      <c r="FH14" s="233"/>
      <c r="FI14" s="233"/>
      <c r="FJ14" s="233"/>
      <c r="FK14" s="233"/>
      <c r="FL14" s="233"/>
      <c r="FM14" s="233"/>
      <c r="FN14" s="233"/>
      <c r="FO14" s="233"/>
      <c r="FP14" s="233"/>
      <c r="FQ14" s="233"/>
      <c r="FR14" s="233"/>
      <c r="FS14" s="233"/>
      <c r="FT14" s="233"/>
      <c r="FU14" s="233"/>
      <c r="FV14" s="233"/>
      <c r="FW14" s="233"/>
      <c r="FX14" s="233"/>
      <c r="FY14" s="233"/>
      <c r="FZ14" s="233"/>
      <c r="GA14" s="233"/>
      <c r="GB14" s="233"/>
      <c r="GC14" s="233"/>
      <c r="GD14" s="233"/>
      <c r="GE14" s="233"/>
      <c r="GF14" s="233"/>
      <c r="GG14" s="233"/>
      <c r="GH14" s="233"/>
      <c r="GI14" s="233"/>
      <c r="GJ14" s="233"/>
      <c r="GK14" s="233"/>
      <c r="GL14" s="233"/>
      <c r="GM14" s="233"/>
      <c r="GN14" s="233"/>
      <c r="GO14" s="233"/>
      <c r="GP14" s="233"/>
      <c r="GQ14" s="233"/>
      <c r="GR14" s="233"/>
      <c r="GS14" s="233"/>
      <c r="GT14" s="233"/>
      <c r="GU14" s="233"/>
      <c r="GV14" s="233"/>
      <c r="GW14" s="233"/>
      <c r="GX14" s="233"/>
      <c r="GY14" s="233"/>
      <c r="GZ14" s="233"/>
      <c r="HA14" s="233"/>
      <c r="HB14" s="233"/>
      <c r="HC14" s="233"/>
      <c r="HD14" s="233"/>
      <c r="HE14" s="233"/>
      <c r="HF14" s="233"/>
      <c r="HG14" s="233"/>
      <c r="HH14" s="233"/>
      <c r="HI14" s="233"/>
      <c r="HJ14" s="233"/>
      <c r="HK14" s="233"/>
      <c r="HL14" s="233"/>
      <c r="HM14" s="233"/>
      <c r="HN14" s="233"/>
      <c r="HO14" s="233"/>
      <c r="HP14" s="233"/>
      <c r="HQ14" s="233"/>
      <c r="HR14" s="233"/>
      <c r="HS14" s="233"/>
      <c r="HT14" s="233"/>
      <c r="HU14" s="233"/>
      <c r="HV14" s="233"/>
      <c r="HW14" s="233"/>
      <c r="HX14" s="233"/>
      <c r="HY14" s="233"/>
      <c r="HZ14" s="233"/>
      <c r="IA14" s="233"/>
      <c r="IB14" s="233"/>
      <c r="IC14" s="233"/>
      <c r="ID14" s="233"/>
      <c r="IE14" s="233"/>
      <c r="IF14" s="233"/>
      <c r="IG14" s="233"/>
      <c r="IH14" s="233"/>
      <c r="II14" s="233"/>
      <c r="IJ14" s="233"/>
      <c r="IK14" s="233"/>
      <c r="IL14" s="233"/>
      <c r="IM14" s="233"/>
      <c r="IN14" s="233"/>
      <c r="IO14" s="233"/>
      <c r="IP14" s="233"/>
      <c r="IQ14" s="233"/>
      <c r="IR14" s="233"/>
      <c r="IS14" s="233"/>
      <c r="IT14" s="233"/>
      <c r="IU14" s="233"/>
      <c r="IV14" s="233"/>
      <c r="IW14" s="233"/>
      <c r="IX14" s="233"/>
      <c r="IY14" s="233"/>
      <c r="IZ14" s="233"/>
      <c r="JA14" s="233"/>
      <c r="JB14" s="233"/>
      <c r="JC14" s="233"/>
      <c r="JD14" s="233"/>
      <c r="JE14" s="233"/>
      <c r="JF14" s="233"/>
      <c r="JG14" s="233"/>
      <c r="JH14" s="233"/>
      <c r="JI14" s="233"/>
      <c r="JJ14" s="233"/>
      <c r="JK14" s="233"/>
      <c r="JL14" s="233"/>
      <c r="JM14" s="233"/>
      <c r="JN14" s="233"/>
      <c r="JO14" s="233"/>
      <c r="JP14" s="233"/>
      <c r="JQ14" s="233"/>
      <c r="JR14" s="233"/>
      <c r="JS14" s="233"/>
      <c r="JT14" s="233"/>
      <c r="JU14" s="233"/>
      <c r="JV14" s="233"/>
      <c r="JW14" s="233"/>
      <c r="JX14" s="233"/>
      <c r="JY14" s="233"/>
      <c r="JZ14" s="233"/>
      <c r="KA14" s="233"/>
      <c r="KB14" s="233"/>
      <c r="KC14" s="233"/>
      <c r="KD14" s="233"/>
      <c r="KE14" s="233"/>
      <c r="KF14" s="233"/>
      <c r="KG14" s="233"/>
      <c r="KH14" s="233"/>
      <c r="KI14" s="233"/>
      <c r="KJ14" s="233"/>
      <c r="KK14" s="233"/>
      <c r="KL14" s="233"/>
      <c r="KM14" s="233"/>
      <c r="KN14" s="233"/>
      <c r="KO14" s="233"/>
      <c r="KP14" s="233"/>
      <c r="KQ14" s="233"/>
      <c r="KR14" s="233"/>
      <c r="KS14" s="233"/>
      <c r="KT14" s="233"/>
      <c r="KU14" s="233"/>
      <c r="KV14" s="233"/>
      <c r="KW14" s="233"/>
      <c r="KX14" s="233"/>
      <c r="KY14" s="233"/>
      <c r="KZ14" s="233"/>
      <c r="LA14" s="233"/>
      <c r="LB14" s="233"/>
      <c r="LC14" s="233"/>
      <c r="LD14" s="233"/>
      <c r="LE14" s="233"/>
      <c r="LF14" s="233"/>
      <c r="LG14" s="233"/>
      <c r="LH14" s="233"/>
      <c r="LI14" s="233"/>
      <c r="LJ14" s="233"/>
      <c r="LK14" s="233"/>
      <c r="LL14" s="233"/>
      <c r="LM14" s="233"/>
      <c r="LN14" s="233"/>
      <c r="LO14" s="233"/>
      <c r="LP14" s="233"/>
      <c r="LQ14" s="233"/>
      <c r="LR14" s="233"/>
      <c r="LS14" s="233"/>
      <c r="LT14" s="233"/>
      <c r="LU14" s="233"/>
      <c r="LV14" s="233"/>
      <c r="LW14" s="233"/>
      <c r="LX14" s="233"/>
      <c r="LY14" s="233"/>
      <c r="LZ14" s="233"/>
      <c r="MA14" s="233"/>
    </row>
    <row r="15" spans="1:339" s="56" customFormat="1" ht="60" hidden="1" customHeight="1" outlineLevel="1" x14ac:dyDescent="0.25">
      <c r="A15" s="50" t="s">
        <v>1304</v>
      </c>
      <c r="B15" s="50" t="s">
        <v>1305</v>
      </c>
      <c r="C15" s="50" t="s">
        <v>1328</v>
      </c>
      <c r="D15" s="50" t="s">
        <v>1330</v>
      </c>
      <c r="E15" s="164" t="s">
        <v>2125</v>
      </c>
      <c r="F15" s="90" t="s">
        <v>243</v>
      </c>
      <c r="G15" s="90"/>
      <c r="H15" s="165"/>
      <c r="I15" s="15"/>
      <c r="J15" s="111" t="str">
        <f>IF(H15&gt;0,(H15*VLOOKUP(Lookups!$K$11,Lookups!$M$10:$P$43,4,0)/VLOOKUP(I15,Lookups!$M$10:$P$43,4,0)),"")</f>
        <v/>
      </c>
      <c r="K15" s="198">
        <f>1.89018702796469/100</f>
        <v>1.8901870279646901E-2</v>
      </c>
      <c r="L15" s="15" t="s">
        <v>1522</v>
      </c>
      <c r="M15" s="111">
        <f>IF(K15&gt;0,(K15*VLOOKUP(Lookups!$K$11,Lookups!$M$10:$P$43,4,0)/VLOOKUP(L15,Lookups!$M$10:$P$43,4,0)),"")</f>
        <v>1.8901870279646901E-2</v>
      </c>
      <c r="N15" s="165"/>
      <c r="O15" s="15"/>
      <c r="P15" s="111" t="str">
        <f>IF(N15&gt;0,(N15*VLOOKUP(Lookups!$K$11,Lookups!$M$10:$P$43,4,0)/VLOOKUP(O15,Lookups!$M$10:$P$43,4,0)),"")</f>
        <v/>
      </c>
      <c r="Q15" s="234" t="s">
        <v>1332</v>
      </c>
      <c r="R15" s="15" t="s">
        <v>154</v>
      </c>
      <c r="S15" s="107" t="s">
        <v>2708</v>
      </c>
      <c r="T15" s="15" t="s">
        <v>923</v>
      </c>
      <c r="U15" s="90" t="s">
        <v>3117</v>
      </c>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233"/>
      <c r="DC15" s="233"/>
      <c r="DD15" s="233"/>
      <c r="DE15" s="233"/>
      <c r="DF15" s="233"/>
      <c r="DG15" s="233"/>
      <c r="DH15" s="233"/>
      <c r="DI15" s="233"/>
      <c r="DJ15" s="233"/>
      <c r="DK15" s="233"/>
      <c r="DL15" s="233"/>
      <c r="DM15" s="233"/>
      <c r="DN15" s="233"/>
      <c r="DO15" s="233"/>
      <c r="DP15" s="233"/>
      <c r="DQ15" s="233"/>
      <c r="DR15" s="233"/>
      <c r="DS15" s="233"/>
      <c r="DT15" s="233"/>
      <c r="DU15" s="233"/>
      <c r="DV15" s="233"/>
      <c r="DW15" s="233"/>
      <c r="DX15" s="233"/>
      <c r="DY15" s="233"/>
      <c r="DZ15" s="233"/>
      <c r="EA15" s="233"/>
      <c r="EB15" s="233"/>
      <c r="EC15" s="233"/>
      <c r="ED15" s="233"/>
      <c r="EE15" s="233"/>
      <c r="EF15" s="233"/>
      <c r="EG15" s="233"/>
      <c r="EH15" s="233"/>
      <c r="EI15" s="233"/>
      <c r="EJ15" s="233"/>
      <c r="EK15" s="233"/>
      <c r="EL15" s="233"/>
      <c r="EM15" s="233"/>
      <c r="EN15" s="233"/>
      <c r="EO15" s="233"/>
      <c r="EP15" s="233"/>
      <c r="EQ15" s="233"/>
      <c r="ER15" s="233"/>
      <c r="ES15" s="233"/>
      <c r="ET15" s="233"/>
      <c r="EU15" s="233"/>
      <c r="EV15" s="233"/>
      <c r="EW15" s="233"/>
      <c r="EX15" s="233"/>
      <c r="EY15" s="233"/>
      <c r="EZ15" s="233"/>
      <c r="FA15" s="233"/>
      <c r="FB15" s="233"/>
      <c r="FC15" s="233"/>
      <c r="FD15" s="233"/>
      <c r="FE15" s="233"/>
      <c r="FF15" s="233"/>
      <c r="FG15" s="233"/>
      <c r="FH15" s="233"/>
      <c r="FI15" s="233"/>
      <c r="FJ15" s="233"/>
      <c r="FK15" s="233"/>
      <c r="FL15" s="233"/>
      <c r="FM15" s="233"/>
      <c r="FN15" s="233"/>
      <c r="FO15" s="233"/>
      <c r="FP15" s="233"/>
      <c r="FQ15" s="233"/>
      <c r="FR15" s="233"/>
      <c r="FS15" s="233"/>
      <c r="FT15" s="233"/>
      <c r="FU15" s="233"/>
      <c r="FV15" s="233"/>
      <c r="FW15" s="233"/>
      <c r="FX15" s="233"/>
      <c r="FY15" s="233"/>
      <c r="FZ15" s="233"/>
      <c r="GA15" s="233"/>
      <c r="GB15" s="233"/>
      <c r="GC15" s="233"/>
      <c r="GD15" s="233"/>
      <c r="GE15" s="233"/>
      <c r="GF15" s="233"/>
      <c r="GG15" s="233"/>
      <c r="GH15" s="233"/>
      <c r="GI15" s="233"/>
      <c r="GJ15" s="233"/>
      <c r="GK15" s="233"/>
      <c r="GL15" s="233"/>
      <c r="GM15" s="233"/>
      <c r="GN15" s="233"/>
      <c r="GO15" s="233"/>
      <c r="GP15" s="233"/>
      <c r="GQ15" s="233"/>
      <c r="GR15" s="233"/>
      <c r="GS15" s="233"/>
      <c r="GT15" s="233"/>
      <c r="GU15" s="233"/>
      <c r="GV15" s="233"/>
      <c r="GW15" s="233"/>
      <c r="GX15" s="233"/>
      <c r="GY15" s="233"/>
      <c r="GZ15" s="233"/>
      <c r="HA15" s="233"/>
      <c r="HB15" s="233"/>
      <c r="HC15" s="233"/>
      <c r="HD15" s="233"/>
      <c r="HE15" s="233"/>
      <c r="HF15" s="233"/>
      <c r="HG15" s="233"/>
      <c r="HH15" s="233"/>
      <c r="HI15" s="233"/>
      <c r="HJ15" s="233"/>
      <c r="HK15" s="233"/>
      <c r="HL15" s="233"/>
      <c r="HM15" s="233"/>
      <c r="HN15" s="233"/>
      <c r="HO15" s="233"/>
      <c r="HP15" s="233"/>
      <c r="HQ15" s="233"/>
      <c r="HR15" s="233"/>
      <c r="HS15" s="233"/>
      <c r="HT15" s="233"/>
      <c r="HU15" s="233"/>
      <c r="HV15" s="233"/>
      <c r="HW15" s="233"/>
      <c r="HX15" s="233"/>
      <c r="HY15" s="233"/>
      <c r="HZ15" s="233"/>
      <c r="IA15" s="233"/>
      <c r="IB15" s="233"/>
      <c r="IC15" s="233"/>
      <c r="ID15" s="233"/>
      <c r="IE15" s="233"/>
      <c r="IF15" s="233"/>
      <c r="IG15" s="233"/>
      <c r="IH15" s="233"/>
      <c r="II15" s="233"/>
      <c r="IJ15" s="233"/>
      <c r="IK15" s="233"/>
      <c r="IL15" s="233"/>
      <c r="IM15" s="233"/>
      <c r="IN15" s="233"/>
      <c r="IO15" s="233"/>
      <c r="IP15" s="233"/>
      <c r="IQ15" s="233"/>
      <c r="IR15" s="233"/>
      <c r="IS15" s="233"/>
      <c r="IT15" s="233"/>
      <c r="IU15" s="233"/>
      <c r="IV15" s="233"/>
      <c r="IW15" s="233"/>
      <c r="IX15" s="233"/>
      <c r="IY15" s="233"/>
      <c r="IZ15" s="233"/>
      <c r="JA15" s="233"/>
      <c r="JB15" s="233"/>
      <c r="JC15" s="233"/>
      <c r="JD15" s="233"/>
      <c r="JE15" s="233"/>
      <c r="JF15" s="233"/>
      <c r="JG15" s="233"/>
      <c r="JH15" s="233"/>
      <c r="JI15" s="233"/>
      <c r="JJ15" s="233"/>
      <c r="JK15" s="233"/>
      <c r="JL15" s="233"/>
      <c r="JM15" s="233"/>
      <c r="JN15" s="233"/>
      <c r="JO15" s="233"/>
      <c r="JP15" s="233"/>
      <c r="JQ15" s="233"/>
      <c r="JR15" s="233"/>
      <c r="JS15" s="233"/>
      <c r="JT15" s="233"/>
      <c r="JU15" s="233"/>
      <c r="JV15" s="233"/>
      <c r="JW15" s="233"/>
      <c r="JX15" s="233"/>
      <c r="JY15" s="233"/>
      <c r="JZ15" s="233"/>
      <c r="KA15" s="233"/>
      <c r="KB15" s="233"/>
      <c r="KC15" s="233"/>
      <c r="KD15" s="233"/>
      <c r="KE15" s="233"/>
      <c r="KF15" s="233"/>
      <c r="KG15" s="233"/>
      <c r="KH15" s="233"/>
      <c r="KI15" s="233"/>
      <c r="KJ15" s="233"/>
      <c r="KK15" s="233"/>
      <c r="KL15" s="233"/>
      <c r="KM15" s="233"/>
      <c r="KN15" s="233"/>
      <c r="KO15" s="233"/>
      <c r="KP15" s="233"/>
      <c r="KQ15" s="233"/>
      <c r="KR15" s="233"/>
      <c r="KS15" s="233"/>
      <c r="KT15" s="233"/>
      <c r="KU15" s="233"/>
      <c r="KV15" s="233"/>
      <c r="KW15" s="233"/>
      <c r="KX15" s="233"/>
      <c r="KY15" s="233"/>
      <c r="KZ15" s="233"/>
      <c r="LA15" s="233"/>
      <c r="LB15" s="233"/>
      <c r="LC15" s="233"/>
      <c r="LD15" s="233"/>
      <c r="LE15" s="233"/>
      <c r="LF15" s="233"/>
      <c r="LG15" s="233"/>
      <c r="LH15" s="233"/>
      <c r="LI15" s="233"/>
      <c r="LJ15" s="233"/>
      <c r="LK15" s="233"/>
      <c r="LL15" s="233"/>
      <c r="LM15" s="233"/>
      <c r="LN15" s="233"/>
      <c r="LO15" s="233"/>
      <c r="LP15" s="233"/>
      <c r="LQ15" s="233"/>
      <c r="LR15" s="233"/>
      <c r="LS15" s="233"/>
      <c r="LT15" s="233"/>
      <c r="LU15" s="233"/>
      <c r="LV15" s="233"/>
      <c r="LW15" s="233"/>
      <c r="LX15" s="233"/>
      <c r="LY15" s="233"/>
      <c r="LZ15" s="233"/>
      <c r="MA15" s="233"/>
    </row>
    <row r="16" spans="1:339" s="56" customFormat="1" ht="60" hidden="1" customHeight="1" outlineLevel="1" x14ac:dyDescent="0.25">
      <c r="A16" s="50" t="s">
        <v>1304</v>
      </c>
      <c r="B16" s="50" t="s">
        <v>1305</v>
      </c>
      <c r="C16" s="50" t="s">
        <v>1329</v>
      </c>
      <c r="D16" s="50" t="s">
        <v>1331</v>
      </c>
      <c r="E16" s="164" t="s">
        <v>2125</v>
      </c>
      <c r="F16" s="90" t="s">
        <v>243</v>
      </c>
      <c r="G16" s="90"/>
      <c r="H16" s="165"/>
      <c r="I16" s="15"/>
      <c r="J16" s="111" t="str">
        <f>IF(H16&gt;0,(H16*VLOOKUP(Lookups!$K$11,Lookups!$M$10:$P$43,4,0)/VLOOKUP(I16,Lookups!$M$10:$P$43,4,0)),"")</f>
        <v/>
      </c>
      <c r="K16" s="198">
        <f>1.8423949183595/100</f>
        <v>1.8423949183595002E-2</v>
      </c>
      <c r="L16" s="15" t="s">
        <v>1522</v>
      </c>
      <c r="M16" s="111">
        <f>IF(K16&gt;0,(K16*VLOOKUP(Lookups!$K$11,Lookups!$M$10:$P$43,4,0)/VLOOKUP(L16,Lookups!$M$10:$P$43,4,0)),"")</f>
        <v>1.8423949183595002E-2</v>
      </c>
      <c r="N16" s="165"/>
      <c r="O16" s="15"/>
      <c r="P16" s="111" t="str">
        <f>IF(N16&gt;0,(N16*VLOOKUP(Lookups!$K$11,Lookups!$M$10:$P$43,4,0)/VLOOKUP(O16,Lookups!$M$10:$P$43,4,0)),"")</f>
        <v/>
      </c>
      <c r="Q16" s="234" t="s">
        <v>1332</v>
      </c>
      <c r="R16" s="15" t="s">
        <v>154</v>
      </c>
      <c r="S16" s="107" t="s">
        <v>2709</v>
      </c>
      <c r="T16" s="15" t="s">
        <v>923</v>
      </c>
      <c r="U16" s="90" t="s">
        <v>3117</v>
      </c>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233"/>
      <c r="CW16" s="233"/>
      <c r="CX16" s="233"/>
      <c r="CY16" s="233"/>
      <c r="CZ16" s="233"/>
      <c r="DA16" s="233"/>
      <c r="DB16" s="233"/>
      <c r="DC16" s="233"/>
      <c r="DD16" s="233"/>
      <c r="DE16" s="233"/>
      <c r="DF16" s="233"/>
      <c r="DG16" s="233"/>
      <c r="DH16" s="233"/>
      <c r="DI16" s="233"/>
      <c r="DJ16" s="233"/>
      <c r="DK16" s="233"/>
      <c r="DL16" s="233"/>
      <c r="DM16" s="233"/>
      <c r="DN16" s="233"/>
      <c r="DO16" s="233"/>
      <c r="DP16" s="233"/>
      <c r="DQ16" s="233"/>
      <c r="DR16" s="233"/>
      <c r="DS16" s="233"/>
      <c r="DT16" s="233"/>
      <c r="DU16" s="233"/>
      <c r="DV16" s="233"/>
      <c r="DW16" s="233"/>
      <c r="DX16" s="233"/>
      <c r="DY16" s="233"/>
      <c r="DZ16" s="233"/>
      <c r="EA16" s="233"/>
      <c r="EB16" s="233"/>
      <c r="EC16" s="233"/>
      <c r="ED16" s="233"/>
      <c r="EE16" s="233"/>
      <c r="EF16" s="233"/>
      <c r="EG16" s="233"/>
      <c r="EH16" s="233"/>
      <c r="EI16" s="233"/>
      <c r="EJ16" s="233"/>
      <c r="EK16" s="233"/>
      <c r="EL16" s="233"/>
      <c r="EM16" s="233"/>
      <c r="EN16" s="233"/>
      <c r="EO16" s="233"/>
      <c r="EP16" s="233"/>
      <c r="EQ16" s="233"/>
      <c r="ER16" s="233"/>
      <c r="ES16" s="233"/>
      <c r="ET16" s="233"/>
      <c r="EU16" s="233"/>
      <c r="EV16" s="233"/>
      <c r="EW16" s="233"/>
      <c r="EX16" s="233"/>
      <c r="EY16" s="233"/>
      <c r="EZ16" s="233"/>
      <c r="FA16" s="233"/>
      <c r="FB16" s="233"/>
      <c r="FC16" s="233"/>
      <c r="FD16" s="233"/>
      <c r="FE16" s="233"/>
      <c r="FF16" s="233"/>
      <c r="FG16" s="233"/>
      <c r="FH16" s="233"/>
      <c r="FI16" s="233"/>
      <c r="FJ16" s="233"/>
      <c r="FK16" s="233"/>
      <c r="FL16" s="233"/>
      <c r="FM16" s="233"/>
      <c r="FN16" s="233"/>
      <c r="FO16" s="233"/>
      <c r="FP16" s="233"/>
      <c r="FQ16" s="233"/>
      <c r="FR16" s="233"/>
      <c r="FS16" s="233"/>
      <c r="FT16" s="233"/>
      <c r="FU16" s="233"/>
      <c r="FV16" s="233"/>
      <c r="FW16" s="233"/>
      <c r="FX16" s="233"/>
      <c r="FY16" s="233"/>
      <c r="FZ16" s="233"/>
      <c r="GA16" s="233"/>
      <c r="GB16" s="233"/>
      <c r="GC16" s="233"/>
      <c r="GD16" s="233"/>
      <c r="GE16" s="233"/>
      <c r="GF16" s="233"/>
      <c r="GG16" s="233"/>
      <c r="GH16" s="233"/>
      <c r="GI16" s="233"/>
      <c r="GJ16" s="233"/>
      <c r="GK16" s="233"/>
      <c r="GL16" s="233"/>
      <c r="GM16" s="233"/>
      <c r="GN16" s="233"/>
      <c r="GO16" s="233"/>
      <c r="GP16" s="233"/>
      <c r="GQ16" s="233"/>
      <c r="GR16" s="233"/>
      <c r="GS16" s="233"/>
      <c r="GT16" s="233"/>
      <c r="GU16" s="233"/>
      <c r="GV16" s="233"/>
      <c r="GW16" s="233"/>
      <c r="GX16" s="233"/>
      <c r="GY16" s="233"/>
      <c r="GZ16" s="233"/>
      <c r="HA16" s="233"/>
      <c r="HB16" s="233"/>
      <c r="HC16" s="233"/>
      <c r="HD16" s="233"/>
      <c r="HE16" s="233"/>
      <c r="HF16" s="233"/>
      <c r="HG16" s="233"/>
      <c r="HH16" s="233"/>
      <c r="HI16" s="233"/>
      <c r="HJ16" s="233"/>
      <c r="HK16" s="233"/>
      <c r="HL16" s="233"/>
      <c r="HM16" s="233"/>
      <c r="HN16" s="233"/>
      <c r="HO16" s="233"/>
      <c r="HP16" s="233"/>
      <c r="HQ16" s="233"/>
      <c r="HR16" s="233"/>
      <c r="HS16" s="233"/>
      <c r="HT16" s="233"/>
      <c r="HU16" s="233"/>
      <c r="HV16" s="233"/>
      <c r="HW16" s="233"/>
      <c r="HX16" s="233"/>
      <c r="HY16" s="233"/>
      <c r="HZ16" s="233"/>
      <c r="IA16" s="233"/>
      <c r="IB16" s="233"/>
      <c r="IC16" s="233"/>
      <c r="ID16" s="233"/>
      <c r="IE16" s="233"/>
      <c r="IF16" s="233"/>
      <c r="IG16" s="233"/>
      <c r="IH16" s="233"/>
      <c r="II16" s="233"/>
      <c r="IJ16" s="233"/>
      <c r="IK16" s="233"/>
      <c r="IL16" s="233"/>
      <c r="IM16" s="233"/>
      <c r="IN16" s="233"/>
      <c r="IO16" s="233"/>
      <c r="IP16" s="233"/>
      <c r="IQ16" s="233"/>
      <c r="IR16" s="233"/>
      <c r="IS16" s="233"/>
      <c r="IT16" s="233"/>
      <c r="IU16" s="233"/>
      <c r="IV16" s="233"/>
      <c r="IW16" s="233"/>
      <c r="IX16" s="233"/>
      <c r="IY16" s="233"/>
      <c r="IZ16" s="233"/>
      <c r="JA16" s="233"/>
      <c r="JB16" s="233"/>
      <c r="JC16" s="233"/>
      <c r="JD16" s="233"/>
      <c r="JE16" s="233"/>
      <c r="JF16" s="233"/>
      <c r="JG16" s="233"/>
      <c r="JH16" s="233"/>
      <c r="JI16" s="233"/>
      <c r="JJ16" s="233"/>
      <c r="JK16" s="233"/>
      <c r="JL16" s="233"/>
      <c r="JM16" s="233"/>
      <c r="JN16" s="233"/>
      <c r="JO16" s="233"/>
      <c r="JP16" s="233"/>
      <c r="JQ16" s="233"/>
      <c r="JR16" s="233"/>
      <c r="JS16" s="233"/>
      <c r="JT16" s="233"/>
      <c r="JU16" s="233"/>
      <c r="JV16" s="233"/>
      <c r="JW16" s="233"/>
      <c r="JX16" s="233"/>
      <c r="JY16" s="233"/>
      <c r="JZ16" s="233"/>
      <c r="KA16" s="233"/>
      <c r="KB16" s="233"/>
      <c r="KC16" s="233"/>
      <c r="KD16" s="233"/>
      <c r="KE16" s="233"/>
      <c r="KF16" s="233"/>
      <c r="KG16" s="233"/>
      <c r="KH16" s="233"/>
      <c r="KI16" s="233"/>
      <c r="KJ16" s="233"/>
      <c r="KK16" s="233"/>
      <c r="KL16" s="233"/>
      <c r="KM16" s="233"/>
      <c r="KN16" s="233"/>
      <c r="KO16" s="233"/>
      <c r="KP16" s="233"/>
      <c r="KQ16" s="233"/>
      <c r="KR16" s="233"/>
      <c r="KS16" s="233"/>
      <c r="KT16" s="233"/>
      <c r="KU16" s="233"/>
      <c r="KV16" s="233"/>
      <c r="KW16" s="233"/>
      <c r="KX16" s="233"/>
      <c r="KY16" s="233"/>
      <c r="KZ16" s="233"/>
      <c r="LA16" s="233"/>
      <c r="LB16" s="233"/>
      <c r="LC16" s="233"/>
      <c r="LD16" s="233"/>
      <c r="LE16" s="233"/>
      <c r="LF16" s="233"/>
      <c r="LG16" s="233"/>
      <c r="LH16" s="233"/>
      <c r="LI16" s="233"/>
      <c r="LJ16" s="233"/>
      <c r="LK16" s="233"/>
      <c r="LL16" s="233"/>
      <c r="LM16" s="233"/>
      <c r="LN16" s="233"/>
      <c r="LO16" s="233"/>
      <c r="LP16" s="233"/>
      <c r="LQ16" s="233"/>
      <c r="LR16" s="233"/>
      <c r="LS16" s="233"/>
      <c r="LT16" s="233"/>
      <c r="LU16" s="233"/>
      <c r="LV16" s="233"/>
      <c r="LW16" s="233"/>
      <c r="LX16" s="233"/>
      <c r="LY16" s="233"/>
      <c r="LZ16" s="233"/>
      <c r="MA16" s="233"/>
    </row>
    <row r="17" spans="1:339" s="56" customFormat="1" ht="60" hidden="1" customHeight="1" outlineLevel="1" x14ac:dyDescent="0.25">
      <c r="A17" s="50" t="s">
        <v>1304</v>
      </c>
      <c r="B17" s="50" t="s">
        <v>1305</v>
      </c>
      <c r="C17" s="50" t="s">
        <v>1333</v>
      </c>
      <c r="D17" s="50" t="s">
        <v>2375</v>
      </c>
      <c r="E17" s="164" t="s">
        <v>2125</v>
      </c>
      <c r="F17" s="90" t="s">
        <v>243</v>
      </c>
      <c r="G17" s="90"/>
      <c r="H17" s="165"/>
      <c r="I17" s="15"/>
      <c r="J17" s="111" t="str">
        <f>IF(H17&gt;0,(H17*VLOOKUP(Lookups!$K$11,Lookups!$M$10:$P$43,4,0)/VLOOKUP(I17,Lookups!$M$10:$P$43,4,0)),"")</f>
        <v/>
      </c>
      <c r="K17" s="198">
        <f>0.18352*(K3/1000)</f>
        <v>4.5512959999999998E-2</v>
      </c>
      <c r="L17" s="15" t="s">
        <v>1522</v>
      </c>
      <c r="M17" s="111">
        <f>IF(K17&gt;0,(K17*VLOOKUP(Lookups!$K$11,Lookups!$M$10:$P$43,4,0)/VLOOKUP(L17,Lookups!$M$10:$P$43,4,0)),"")</f>
        <v>4.5512959999999998E-2</v>
      </c>
      <c r="N17" s="165"/>
      <c r="O17" s="15"/>
      <c r="P17" s="111" t="str">
        <f>IF(N17&gt;0,(N17*VLOOKUP(Lookups!$K$11,Lookups!$M$10:$P$43,4,0)/VLOOKUP(O17,Lookups!$M$10:$P$43,4,0)),"")</f>
        <v/>
      </c>
      <c r="Q17" s="234" t="s">
        <v>1341</v>
      </c>
      <c r="R17" s="15" t="s">
        <v>154</v>
      </c>
      <c r="S17" s="107" t="s">
        <v>2396</v>
      </c>
      <c r="T17" s="15" t="s">
        <v>923</v>
      </c>
      <c r="U17" s="90" t="s">
        <v>3117</v>
      </c>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3"/>
      <c r="DD17" s="233"/>
      <c r="DE17" s="233"/>
      <c r="DF17" s="233"/>
      <c r="DG17" s="233"/>
      <c r="DH17" s="233"/>
      <c r="DI17" s="233"/>
      <c r="DJ17" s="233"/>
      <c r="DK17" s="233"/>
      <c r="DL17" s="233"/>
      <c r="DM17" s="233"/>
      <c r="DN17" s="233"/>
      <c r="DO17" s="233"/>
      <c r="DP17" s="233"/>
      <c r="DQ17" s="233"/>
      <c r="DR17" s="233"/>
      <c r="DS17" s="233"/>
      <c r="DT17" s="233"/>
      <c r="DU17" s="233"/>
      <c r="DV17" s="233"/>
      <c r="DW17" s="233"/>
      <c r="DX17" s="233"/>
      <c r="DY17" s="233"/>
      <c r="DZ17" s="233"/>
      <c r="EA17" s="233"/>
      <c r="EB17" s="233"/>
      <c r="EC17" s="233"/>
      <c r="ED17" s="233"/>
      <c r="EE17" s="233"/>
      <c r="EF17" s="233"/>
      <c r="EG17" s="233"/>
      <c r="EH17" s="233"/>
      <c r="EI17" s="233"/>
      <c r="EJ17" s="233"/>
      <c r="EK17" s="233"/>
      <c r="EL17" s="233"/>
      <c r="EM17" s="233"/>
      <c r="EN17" s="233"/>
      <c r="EO17" s="233"/>
      <c r="EP17" s="233"/>
      <c r="EQ17" s="233"/>
      <c r="ER17" s="233"/>
      <c r="ES17" s="233"/>
      <c r="ET17" s="233"/>
      <c r="EU17" s="233"/>
      <c r="EV17" s="233"/>
      <c r="EW17" s="233"/>
      <c r="EX17" s="233"/>
      <c r="EY17" s="233"/>
      <c r="EZ17" s="233"/>
      <c r="FA17" s="233"/>
      <c r="FB17" s="233"/>
      <c r="FC17" s="233"/>
      <c r="FD17" s="233"/>
      <c r="FE17" s="233"/>
      <c r="FF17" s="233"/>
      <c r="FG17" s="233"/>
      <c r="FH17" s="233"/>
      <c r="FI17" s="233"/>
      <c r="FJ17" s="233"/>
      <c r="FK17" s="233"/>
      <c r="FL17" s="233"/>
      <c r="FM17" s="233"/>
      <c r="FN17" s="233"/>
      <c r="FO17" s="233"/>
      <c r="FP17" s="233"/>
      <c r="FQ17" s="233"/>
      <c r="FR17" s="233"/>
      <c r="FS17" s="233"/>
      <c r="FT17" s="233"/>
      <c r="FU17" s="233"/>
      <c r="FV17" s="233"/>
      <c r="FW17" s="233"/>
      <c r="FX17" s="233"/>
      <c r="FY17" s="233"/>
      <c r="FZ17" s="233"/>
      <c r="GA17" s="233"/>
      <c r="GB17" s="233"/>
      <c r="GC17" s="233"/>
      <c r="GD17" s="233"/>
      <c r="GE17" s="233"/>
      <c r="GF17" s="233"/>
      <c r="GG17" s="233"/>
      <c r="GH17" s="233"/>
      <c r="GI17" s="233"/>
      <c r="GJ17" s="233"/>
      <c r="GK17" s="233"/>
      <c r="GL17" s="233"/>
      <c r="GM17" s="233"/>
      <c r="GN17" s="233"/>
      <c r="GO17" s="233"/>
      <c r="GP17" s="233"/>
      <c r="GQ17" s="233"/>
      <c r="GR17" s="233"/>
      <c r="GS17" s="233"/>
      <c r="GT17" s="233"/>
      <c r="GU17" s="233"/>
      <c r="GV17" s="233"/>
      <c r="GW17" s="233"/>
      <c r="GX17" s="233"/>
      <c r="GY17" s="233"/>
      <c r="GZ17" s="233"/>
      <c r="HA17" s="233"/>
      <c r="HB17" s="233"/>
      <c r="HC17" s="233"/>
      <c r="HD17" s="233"/>
      <c r="HE17" s="233"/>
      <c r="HF17" s="233"/>
      <c r="HG17" s="233"/>
      <c r="HH17" s="233"/>
      <c r="HI17" s="233"/>
      <c r="HJ17" s="233"/>
      <c r="HK17" s="233"/>
      <c r="HL17" s="233"/>
      <c r="HM17" s="233"/>
      <c r="HN17" s="233"/>
      <c r="HO17" s="233"/>
      <c r="HP17" s="233"/>
      <c r="HQ17" s="233"/>
      <c r="HR17" s="233"/>
      <c r="HS17" s="233"/>
      <c r="HT17" s="233"/>
      <c r="HU17" s="233"/>
      <c r="HV17" s="233"/>
      <c r="HW17" s="233"/>
      <c r="HX17" s="233"/>
      <c r="HY17" s="233"/>
      <c r="HZ17" s="233"/>
      <c r="IA17" s="233"/>
      <c r="IB17" s="233"/>
      <c r="IC17" s="233"/>
      <c r="ID17" s="233"/>
      <c r="IE17" s="233"/>
      <c r="IF17" s="233"/>
      <c r="IG17" s="233"/>
      <c r="IH17" s="233"/>
      <c r="II17" s="233"/>
      <c r="IJ17" s="233"/>
      <c r="IK17" s="233"/>
      <c r="IL17" s="233"/>
      <c r="IM17" s="233"/>
      <c r="IN17" s="233"/>
      <c r="IO17" s="233"/>
      <c r="IP17" s="233"/>
      <c r="IQ17" s="233"/>
      <c r="IR17" s="233"/>
      <c r="IS17" s="233"/>
      <c r="IT17" s="233"/>
      <c r="IU17" s="233"/>
      <c r="IV17" s="233"/>
      <c r="IW17" s="233"/>
      <c r="IX17" s="233"/>
      <c r="IY17" s="233"/>
      <c r="IZ17" s="233"/>
      <c r="JA17" s="233"/>
      <c r="JB17" s="233"/>
      <c r="JC17" s="233"/>
      <c r="JD17" s="233"/>
      <c r="JE17" s="233"/>
      <c r="JF17" s="233"/>
      <c r="JG17" s="233"/>
      <c r="JH17" s="233"/>
      <c r="JI17" s="233"/>
      <c r="JJ17" s="233"/>
      <c r="JK17" s="233"/>
      <c r="JL17" s="233"/>
      <c r="JM17" s="233"/>
      <c r="JN17" s="233"/>
      <c r="JO17" s="233"/>
      <c r="JP17" s="233"/>
      <c r="JQ17" s="233"/>
      <c r="JR17" s="233"/>
      <c r="JS17" s="233"/>
      <c r="JT17" s="233"/>
      <c r="JU17" s="233"/>
      <c r="JV17" s="233"/>
      <c r="JW17" s="233"/>
      <c r="JX17" s="233"/>
      <c r="JY17" s="233"/>
      <c r="JZ17" s="233"/>
      <c r="KA17" s="233"/>
      <c r="KB17" s="233"/>
      <c r="KC17" s="233"/>
      <c r="KD17" s="233"/>
      <c r="KE17" s="233"/>
      <c r="KF17" s="233"/>
      <c r="KG17" s="233"/>
      <c r="KH17" s="233"/>
      <c r="KI17" s="233"/>
      <c r="KJ17" s="233"/>
      <c r="KK17" s="233"/>
      <c r="KL17" s="233"/>
      <c r="KM17" s="233"/>
      <c r="KN17" s="233"/>
      <c r="KO17" s="233"/>
      <c r="KP17" s="233"/>
      <c r="KQ17" s="233"/>
      <c r="KR17" s="233"/>
      <c r="KS17" s="233"/>
      <c r="KT17" s="233"/>
      <c r="KU17" s="233"/>
      <c r="KV17" s="233"/>
      <c r="KW17" s="233"/>
      <c r="KX17" s="233"/>
      <c r="KY17" s="233"/>
      <c r="KZ17" s="233"/>
      <c r="LA17" s="233"/>
      <c r="LB17" s="233"/>
      <c r="LC17" s="233"/>
      <c r="LD17" s="233"/>
      <c r="LE17" s="233"/>
      <c r="LF17" s="233"/>
      <c r="LG17" s="233"/>
      <c r="LH17" s="233"/>
      <c r="LI17" s="233"/>
      <c r="LJ17" s="233"/>
      <c r="LK17" s="233"/>
      <c r="LL17" s="233"/>
      <c r="LM17" s="233"/>
      <c r="LN17" s="233"/>
      <c r="LO17" s="233"/>
      <c r="LP17" s="233"/>
      <c r="LQ17" s="233"/>
      <c r="LR17" s="233"/>
      <c r="LS17" s="233"/>
      <c r="LT17" s="233"/>
      <c r="LU17" s="233"/>
      <c r="LV17" s="233"/>
      <c r="LW17" s="233"/>
      <c r="LX17" s="233"/>
      <c r="LY17" s="233"/>
      <c r="LZ17" s="233"/>
      <c r="MA17" s="233"/>
    </row>
    <row r="18" spans="1:339" s="56" customFormat="1" ht="60" hidden="1" customHeight="1" outlineLevel="1" x14ac:dyDescent="0.25">
      <c r="A18" s="50" t="s">
        <v>1304</v>
      </c>
      <c r="B18" s="50" t="s">
        <v>1305</v>
      </c>
      <c r="C18" s="50" t="s">
        <v>1334</v>
      </c>
      <c r="D18" s="50" t="s">
        <v>1364</v>
      </c>
      <c r="E18" s="164" t="s">
        <v>2125</v>
      </c>
      <c r="F18" s="90" t="s">
        <v>243</v>
      </c>
      <c r="G18" s="90"/>
      <c r="H18" s="165"/>
      <c r="I18" s="15"/>
      <c r="J18" s="111" t="str">
        <f>IF(H18&gt;0,(H18*VLOOKUP(Lookups!$K$11,Lookups!$M$10:$P$43,4,0)/VLOOKUP(I18,Lookups!$M$10:$P$43,4,0)),"")</f>
        <v/>
      </c>
      <c r="K18" s="165"/>
      <c r="L18" s="15"/>
      <c r="M18" s="111" t="str">
        <f>IF(K18&gt;0,(K18*VLOOKUP(Lookups!$K$11,Lookups!$M$10:$P$43,4,0)/VLOOKUP(L18,Lookups!$M$10:$P$43,4,0)),"")</f>
        <v/>
      </c>
      <c r="N18" s="199">
        <f>0.159833584630036/100</f>
        <v>1.5983358463003599E-3</v>
      </c>
      <c r="O18" s="15" t="s">
        <v>1522</v>
      </c>
      <c r="P18" s="112">
        <f>IF(N18&gt;0,(N18*VLOOKUP(Lookups!$K$11,Lookups!$M$10:$P$43,4,0)/VLOOKUP(O18,Lookups!$M$10:$P$43,4,0)),"")</f>
        <v>1.5983358463003599E-3</v>
      </c>
      <c r="Q18" s="234" t="s">
        <v>1363</v>
      </c>
      <c r="R18" s="15" t="s">
        <v>154</v>
      </c>
      <c r="S18" s="174" t="s">
        <v>1368</v>
      </c>
      <c r="T18" s="15" t="s">
        <v>923</v>
      </c>
      <c r="U18" s="90" t="s">
        <v>3117</v>
      </c>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c r="EO18" s="233"/>
      <c r="EP18" s="233"/>
      <c r="EQ18" s="233"/>
      <c r="ER18" s="233"/>
      <c r="ES18" s="233"/>
      <c r="ET18" s="233"/>
      <c r="EU18" s="233"/>
      <c r="EV18" s="233"/>
      <c r="EW18" s="233"/>
      <c r="EX18" s="233"/>
      <c r="EY18" s="233"/>
      <c r="EZ18" s="233"/>
      <c r="FA18" s="233"/>
      <c r="FB18" s="233"/>
      <c r="FC18" s="233"/>
      <c r="FD18" s="233"/>
      <c r="FE18" s="233"/>
      <c r="FF18" s="233"/>
      <c r="FG18" s="233"/>
      <c r="FH18" s="233"/>
      <c r="FI18" s="233"/>
      <c r="FJ18" s="233"/>
      <c r="FK18" s="233"/>
      <c r="FL18" s="233"/>
      <c r="FM18" s="233"/>
      <c r="FN18" s="233"/>
      <c r="FO18" s="233"/>
      <c r="FP18" s="233"/>
      <c r="FQ18" s="233"/>
      <c r="FR18" s="233"/>
      <c r="FS18" s="233"/>
      <c r="FT18" s="233"/>
      <c r="FU18" s="233"/>
      <c r="FV18" s="233"/>
      <c r="FW18" s="233"/>
      <c r="FX18" s="233"/>
      <c r="FY18" s="233"/>
      <c r="FZ18" s="233"/>
      <c r="GA18" s="233"/>
      <c r="GB18" s="233"/>
      <c r="GC18" s="233"/>
      <c r="GD18" s="233"/>
      <c r="GE18" s="233"/>
      <c r="GF18" s="233"/>
      <c r="GG18" s="233"/>
      <c r="GH18" s="233"/>
      <c r="GI18" s="233"/>
      <c r="GJ18" s="233"/>
      <c r="GK18" s="233"/>
      <c r="GL18" s="233"/>
      <c r="GM18" s="233"/>
      <c r="GN18" s="233"/>
      <c r="GO18" s="233"/>
      <c r="GP18" s="233"/>
      <c r="GQ18" s="233"/>
      <c r="GR18" s="233"/>
      <c r="GS18" s="233"/>
      <c r="GT18" s="233"/>
      <c r="GU18" s="233"/>
      <c r="GV18" s="233"/>
      <c r="GW18" s="233"/>
      <c r="GX18" s="233"/>
      <c r="GY18" s="233"/>
      <c r="GZ18" s="233"/>
      <c r="HA18" s="233"/>
      <c r="HB18" s="233"/>
      <c r="HC18" s="233"/>
      <c r="HD18" s="233"/>
      <c r="HE18" s="233"/>
      <c r="HF18" s="233"/>
      <c r="HG18" s="233"/>
      <c r="HH18" s="233"/>
      <c r="HI18" s="233"/>
      <c r="HJ18" s="233"/>
      <c r="HK18" s="233"/>
      <c r="HL18" s="233"/>
      <c r="HM18" s="233"/>
      <c r="HN18" s="233"/>
      <c r="HO18" s="233"/>
      <c r="HP18" s="233"/>
      <c r="HQ18" s="233"/>
      <c r="HR18" s="233"/>
      <c r="HS18" s="233"/>
      <c r="HT18" s="233"/>
      <c r="HU18" s="233"/>
      <c r="HV18" s="233"/>
      <c r="HW18" s="233"/>
      <c r="HX18" s="233"/>
      <c r="HY18" s="233"/>
      <c r="HZ18" s="233"/>
      <c r="IA18" s="233"/>
      <c r="IB18" s="233"/>
      <c r="IC18" s="233"/>
      <c r="ID18" s="233"/>
      <c r="IE18" s="233"/>
      <c r="IF18" s="233"/>
      <c r="IG18" s="233"/>
      <c r="IH18" s="233"/>
      <c r="II18" s="233"/>
      <c r="IJ18" s="233"/>
      <c r="IK18" s="233"/>
      <c r="IL18" s="233"/>
      <c r="IM18" s="233"/>
      <c r="IN18" s="233"/>
      <c r="IO18" s="233"/>
      <c r="IP18" s="233"/>
      <c r="IQ18" s="233"/>
      <c r="IR18" s="233"/>
      <c r="IS18" s="233"/>
      <c r="IT18" s="233"/>
      <c r="IU18" s="233"/>
      <c r="IV18" s="233"/>
      <c r="IW18" s="233"/>
      <c r="IX18" s="233"/>
      <c r="IY18" s="233"/>
      <c r="IZ18" s="233"/>
      <c r="JA18" s="233"/>
      <c r="JB18" s="233"/>
      <c r="JC18" s="233"/>
      <c r="JD18" s="233"/>
      <c r="JE18" s="233"/>
      <c r="JF18" s="233"/>
      <c r="JG18" s="233"/>
      <c r="JH18" s="233"/>
      <c r="JI18" s="233"/>
      <c r="JJ18" s="233"/>
      <c r="JK18" s="233"/>
      <c r="JL18" s="233"/>
      <c r="JM18" s="233"/>
      <c r="JN18" s="233"/>
      <c r="JO18" s="233"/>
      <c r="JP18" s="233"/>
      <c r="JQ18" s="233"/>
      <c r="JR18" s="233"/>
      <c r="JS18" s="233"/>
      <c r="JT18" s="233"/>
      <c r="JU18" s="233"/>
      <c r="JV18" s="233"/>
      <c r="JW18" s="233"/>
      <c r="JX18" s="233"/>
      <c r="JY18" s="233"/>
      <c r="JZ18" s="233"/>
      <c r="KA18" s="233"/>
      <c r="KB18" s="233"/>
      <c r="KC18" s="233"/>
      <c r="KD18" s="233"/>
      <c r="KE18" s="233"/>
      <c r="KF18" s="233"/>
      <c r="KG18" s="233"/>
      <c r="KH18" s="233"/>
      <c r="KI18" s="233"/>
      <c r="KJ18" s="233"/>
      <c r="KK18" s="233"/>
      <c r="KL18" s="233"/>
      <c r="KM18" s="233"/>
      <c r="KN18" s="233"/>
      <c r="KO18" s="233"/>
      <c r="KP18" s="233"/>
      <c r="KQ18" s="233"/>
      <c r="KR18" s="233"/>
      <c r="KS18" s="233"/>
      <c r="KT18" s="233"/>
      <c r="KU18" s="233"/>
      <c r="KV18" s="233"/>
      <c r="KW18" s="233"/>
      <c r="KX18" s="233"/>
      <c r="KY18" s="233"/>
      <c r="KZ18" s="233"/>
      <c r="LA18" s="233"/>
      <c r="LB18" s="233"/>
      <c r="LC18" s="233"/>
      <c r="LD18" s="233"/>
      <c r="LE18" s="233"/>
      <c r="LF18" s="233"/>
      <c r="LG18" s="233"/>
      <c r="LH18" s="233"/>
      <c r="LI18" s="233"/>
      <c r="LJ18" s="233"/>
      <c r="LK18" s="233"/>
      <c r="LL18" s="233"/>
      <c r="LM18" s="233"/>
      <c r="LN18" s="233"/>
      <c r="LO18" s="233"/>
      <c r="LP18" s="233"/>
      <c r="LQ18" s="233"/>
      <c r="LR18" s="233"/>
      <c r="LS18" s="233"/>
      <c r="LT18" s="233"/>
      <c r="LU18" s="233"/>
      <c r="LV18" s="233"/>
      <c r="LW18" s="233"/>
      <c r="LX18" s="233"/>
      <c r="LY18" s="233"/>
      <c r="LZ18" s="233"/>
      <c r="MA18" s="233"/>
    </row>
    <row r="19" spans="1:339" s="56" customFormat="1" ht="60" hidden="1" customHeight="1" outlineLevel="1" x14ac:dyDescent="0.25">
      <c r="A19" s="50" t="s">
        <v>1304</v>
      </c>
      <c r="B19" s="50" t="s">
        <v>1305</v>
      </c>
      <c r="C19" s="50" t="s">
        <v>1335</v>
      </c>
      <c r="D19" s="50" t="s">
        <v>1338</v>
      </c>
      <c r="E19" s="164" t="s">
        <v>2125</v>
      </c>
      <c r="F19" s="90" t="s">
        <v>243</v>
      </c>
      <c r="G19" s="90"/>
      <c r="H19" s="165"/>
      <c r="I19" s="15"/>
      <c r="J19" s="111" t="str">
        <f>IF(H19&gt;0,(H19*VLOOKUP(Lookups!$K$11,Lookups!$M$10:$P$43,4,0)/VLOOKUP(I19,Lookups!$M$10:$P$43,4,0)),"")</f>
        <v/>
      </c>
      <c r="K19" s="165"/>
      <c r="L19" s="15"/>
      <c r="M19" s="111" t="str">
        <f>IF(K19&gt;0,(K19*VLOOKUP(Lookups!$K$11,Lookups!$M$10:$P$43,4,0)/VLOOKUP(L19,Lookups!$M$10:$P$43,4,0)),"")</f>
        <v/>
      </c>
      <c r="N19" s="198">
        <f>4.51210596758196/100</f>
        <v>4.5121059675819607E-2</v>
      </c>
      <c r="O19" s="15" t="s">
        <v>1522</v>
      </c>
      <c r="P19" s="111">
        <f>IF(N19&gt;0,(N19*VLOOKUP(Lookups!$K$11,Lookups!$M$10:$P$43,4,0)/VLOOKUP(O19,Lookups!$M$10:$P$43,4,0)),"")</f>
        <v>4.5121059675819607E-2</v>
      </c>
      <c r="Q19" s="234" t="s">
        <v>1340</v>
      </c>
      <c r="R19" s="15" t="s">
        <v>154</v>
      </c>
      <c r="S19" s="174" t="s">
        <v>2710</v>
      </c>
      <c r="T19" s="15" t="s">
        <v>923</v>
      </c>
      <c r="U19" s="90" t="s">
        <v>3117</v>
      </c>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c r="CX19" s="233"/>
      <c r="CY19" s="233"/>
      <c r="CZ19" s="233"/>
      <c r="DA19" s="233"/>
      <c r="DB19" s="233"/>
      <c r="DC19" s="233"/>
      <c r="DD19" s="233"/>
      <c r="DE19" s="233"/>
      <c r="DF19" s="233"/>
      <c r="DG19" s="233"/>
      <c r="DH19" s="233"/>
      <c r="DI19" s="233"/>
      <c r="DJ19" s="233"/>
      <c r="DK19" s="233"/>
      <c r="DL19" s="233"/>
      <c r="DM19" s="233"/>
      <c r="DN19" s="233"/>
      <c r="DO19" s="233"/>
      <c r="DP19" s="233"/>
      <c r="DQ19" s="233"/>
      <c r="DR19" s="233"/>
      <c r="DS19" s="233"/>
      <c r="DT19" s="233"/>
      <c r="DU19" s="233"/>
      <c r="DV19" s="233"/>
      <c r="DW19" s="233"/>
      <c r="DX19" s="233"/>
      <c r="DY19" s="233"/>
      <c r="DZ19" s="233"/>
      <c r="EA19" s="233"/>
      <c r="EB19" s="233"/>
      <c r="EC19" s="233"/>
      <c r="ED19" s="233"/>
      <c r="EE19" s="233"/>
      <c r="EF19" s="233"/>
      <c r="EG19" s="233"/>
      <c r="EH19" s="233"/>
      <c r="EI19" s="233"/>
      <c r="EJ19" s="233"/>
      <c r="EK19" s="233"/>
      <c r="EL19" s="233"/>
      <c r="EM19" s="233"/>
      <c r="EN19" s="233"/>
      <c r="EO19" s="233"/>
      <c r="EP19" s="233"/>
      <c r="EQ19" s="233"/>
      <c r="ER19" s="233"/>
      <c r="ES19" s="233"/>
      <c r="ET19" s="233"/>
      <c r="EU19" s="233"/>
      <c r="EV19" s="233"/>
      <c r="EW19" s="233"/>
      <c r="EX19" s="233"/>
      <c r="EY19" s="233"/>
      <c r="EZ19" s="233"/>
      <c r="FA19" s="233"/>
      <c r="FB19" s="233"/>
      <c r="FC19" s="233"/>
      <c r="FD19" s="233"/>
      <c r="FE19" s="233"/>
      <c r="FF19" s="233"/>
      <c r="FG19" s="233"/>
      <c r="FH19" s="233"/>
      <c r="FI19" s="233"/>
      <c r="FJ19" s="233"/>
      <c r="FK19" s="233"/>
      <c r="FL19" s="233"/>
      <c r="FM19" s="233"/>
      <c r="FN19" s="233"/>
      <c r="FO19" s="233"/>
      <c r="FP19" s="233"/>
      <c r="FQ19" s="233"/>
      <c r="FR19" s="233"/>
      <c r="FS19" s="233"/>
      <c r="FT19" s="233"/>
      <c r="FU19" s="233"/>
      <c r="FV19" s="233"/>
      <c r="FW19" s="233"/>
      <c r="FX19" s="233"/>
      <c r="FY19" s="233"/>
      <c r="FZ19" s="233"/>
      <c r="GA19" s="233"/>
      <c r="GB19" s="233"/>
      <c r="GC19" s="233"/>
      <c r="GD19" s="233"/>
      <c r="GE19" s="233"/>
      <c r="GF19" s="233"/>
      <c r="GG19" s="233"/>
      <c r="GH19" s="233"/>
      <c r="GI19" s="233"/>
      <c r="GJ19" s="233"/>
      <c r="GK19" s="233"/>
      <c r="GL19" s="233"/>
      <c r="GM19" s="233"/>
      <c r="GN19" s="233"/>
      <c r="GO19" s="233"/>
      <c r="GP19" s="233"/>
      <c r="GQ19" s="233"/>
      <c r="GR19" s="233"/>
      <c r="GS19" s="233"/>
      <c r="GT19" s="233"/>
      <c r="GU19" s="233"/>
      <c r="GV19" s="233"/>
      <c r="GW19" s="233"/>
      <c r="GX19" s="233"/>
      <c r="GY19" s="233"/>
      <c r="GZ19" s="233"/>
      <c r="HA19" s="233"/>
      <c r="HB19" s="233"/>
      <c r="HC19" s="233"/>
      <c r="HD19" s="233"/>
      <c r="HE19" s="233"/>
      <c r="HF19" s="233"/>
      <c r="HG19" s="233"/>
      <c r="HH19" s="233"/>
      <c r="HI19" s="233"/>
      <c r="HJ19" s="233"/>
      <c r="HK19" s="233"/>
      <c r="HL19" s="233"/>
      <c r="HM19" s="233"/>
      <c r="HN19" s="233"/>
      <c r="HO19" s="233"/>
      <c r="HP19" s="233"/>
      <c r="HQ19" s="233"/>
      <c r="HR19" s="233"/>
      <c r="HS19" s="233"/>
      <c r="HT19" s="233"/>
      <c r="HU19" s="233"/>
      <c r="HV19" s="233"/>
      <c r="HW19" s="233"/>
      <c r="HX19" s="233"/>
      <c r="HY19" s="233"/>
      <c r="HZ19" s="233"/>
      <c r="IA19" s="233"/>
      <c r="IB19" s="233"/>
      <c r="IC19" s="233"/>
      <c r="ID19" s="233"/>
      <c r="IE19" s="233"/>
      <c r="IF19" s="233"/>
      <c r="IG19" s="233"/>
      <c r="IH19" s="233"/>
      <c r="II19" s="233"/>
      <c r="IJ19" s="233"/>
      <c r="IK19" s="233"/>
      <c r="IL19" s="233"/>
      <c r="IM19" s="233"/>
      <c r="IN19" s="233"/>
      <c r="IO19" s="233"/>
      <c r="IP19" s="233"/>
      <c r="IQ19" s="233"/>
      <c r="IR19" s="233"/>
      <c r="IS19" s="233"/>
      <c r="IT19" s="233"/>
      <c r="IU19" s="233"/>
      <c r="IV19" s="233"/>
      <c r="IW19" s="233"/>
      <c r="IX19" s="233"/>
      <c r="IY19" s="233"/>
      <c r="IZ19" s="233"/>
      <c r="JA19" s="233"/>
      <c r="JB19" s="233"/>
      <c r="JC19" s="233"/>
      <c r="JD19" s="233"/>
      <c r="JE19" s="233"/>
      <c r="JF19" s="233"/>
      <c r="JG19" s="233"/>
      <c r="JH19" s="233"/>
      <c r="JI19" s="233"/>
      <c r="JJ19" s="233"/>
      <c r="JK19" s="233"/>
      <c r="JL19" s="233"/>
      <c r="JM19" s="233"/>
      <c r="JN19" s="233"/>
      <c r="JO19" s="233"/>
      <c r="JP19" s="233"/>
      <c r="JQ19" s="233"/>
      <c r="JR19" s="233"/>
      <c r="JS19" s="233"/>
      <c r="JT19" s="233"/>
      <c r="JU19" s="233"/>
      <c r="JV19" s="233"/>
      <c r="JW19" s="233"/>
      <c r="JX19" s="233"/>
      <c r="JY19" s="233"/>
      <c r="JZ19" s="233"/>
      <c r="KA19" s="233"/>
      <c r="KB19" s="233"/>
      <c r="KC19" s="233"/>
      <c r="KD19" s="233"/>
      <c r="KE19" s="233"/>
      <c r="KF19" s="233"/>
      <c r="KG19" s="233"/>
      <c r="KH19" s="233"/>
      <c r="KI19" s="233"/>
      <c r="KJ19" s="233"/>
      <c r="KK19" s="233"/>
      <c r="KL19" s="233"/>
      <c r="KM19" s="233"/>
      <c r="KN19" s="233"/>
      <c r="KO19" s="233"/>
      <c r="KP19" s="233"/>
      <c r="KQ19" s="233"/>
      <c r="KR19" s="233"/>
      <c r="KS19" s="233"/>
      <c r="KT19" s="233"/>
      <c r="KU19" s="233"/>
      <c r="KV19" s="233"/>
      <c r="KW19" s="233"/>
      <c r="KX19" s="233"/>
      <c r="KY19" s="233"/>
      <c r="KZ19" s="233"/>
      <c r="LA19" s="233"/>
      <c r="LB19" s="233"/>
      <c r="LC19" s="233"/>
      <c r="LD19" s="233"/>
      <c r="LE19" s="233"/>
      <c r="LF19" s="233"/>
      <c r="LG19" s="233"/>
      <c r="LH19" s="233"/>
      <c r="LI19" s="233"/>
      <c r="LJ19" s="233"/>
      <c r="LK19" s="233"/>
      <c r="LL19" s="233"/>
      <c r="LM19" s="233"/>
      <c r="LN19" s="233"/>
      <c r="LO19" s="233"/>
      <c r="LP19" s="233"/>
      <c r="LQ19" s="233"/>
      <c r="LR19" s="233"/>
      <c r="LS19" s="233"/>
      <c r="LT19" s="233"/>
      <c r="LU19" s="233"/>
      <c r="LV19" s="233"/>
      <c r="LW19" s="233"/>
      <c r="LX19" s="233"/>
      <c r="LY19" s="233"/>
      <c r="LZ19" s="233"/>
      <c r="MA19" s="233"/>
    </row>
    <row r="20" spans="1:339" s="56" customFormat="1" ht="60" hidden="1" customHeight="1" outlineLevel="1" x14ac:dyDescent="0.25">
      <c r="A20" s="50" t="s">
        <v>1304</v>
      </c>
      <c r="B20" s="50" t="s">
        <v>1305</v>
      </c>
      <c r="C20" s="50" t="s">
        <v>1336</v>
      </c>
      <c r="D20" s="50" t="s">
        <v>1339</v>
      </c>
      <c r="E20" s="164" t="s">
        <v>2125</v>
      </c>
      <c r="F20" s="90" t="s">
        <v>243</v>
      </c>
      <c r="G20" s="90"/>
      <c r="H20" s="165"/>
      <c r="I20" s="15"/>
      <c r="J20" s="111" t="str">
        <f>IF(H20&gt;0,(H20*VLOOKUP(Lookups!$K$11,Lookups!$M$10:$P$43,4,0)/VLOOKUP(I20,Lookups!$M$10:$P$43,4,0)),"")</f>
        <v/>
      </c>
      <c r="K20" s="165"/>
      <c r="L20" s="15"/>
      <c r="M20" s="111" t="str">
        <f>IF(K20&gt;0,(K20*VLOOKUP(Lookups!$K$11,Lookups!$M$10:$P$43,4,0)/VLOOKUP(L20,Lookups!$M$10:$P$43,4,0)),"")</f>
        <v/>
      </c>
      <c r="N20" s="198">
        <f>3.09542513605193/100</f>
        <v>3.0954251360519297E-2</v>
      </c>
      <c r="O20" s="15" t="s">
        <v>1522</v>
      </c>
      <c r="P20" s="111">
        <f>IF(N20&gt;0,(N20*VLOOKUP(Lookups!$K$11,Lookups!$M$10:$P$43,4,0)/VLOOKUP(O20,Lookups!$M$10:$P$43,4,0)),"")</f>
        <v>3.0954251360519297E-2</v>
      </c>
      <c r="Q20" s="234" t="s">
        <v>1340</v>
      </c>
      <c r="R20" s="15" t="s">
        <v>154</v>
      </c>
      <c r="S20" s="174" t="s">
        <v>2711</v>
      </c>
      <c r="T20" s="15" t="s">
        <v>923</v>
      </c>
      <c r="U20" s="90" t="s">
        <v>3117</v>
      </c>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c r="CQ20" s="233"/>
      <c r="CR20" s="233"/>
      <c r="CS20" s="233"/>
      <c r="CT20" s="233"/>
      <c r="CU20" s="233"/>
      <c r="CV20" s="233"/>
      <c r="CW20" s="233"/>
      <c r="CX20" s="233"/>
      <c r="CY20" s="233"/>
      <c r="CZ20" s="233"/>
      <c r="DA20" s="233"/>
      <c r="DB20" s="233"/>
      <c r="DC20" s="233"/>
      <c r="DD20" s="233"/>
      <c r="DE20" s="233"/>
      <c r="DF20" s="233"/>
      <c r="DG20" s="233"/>
      <c r="DH20" s="233"/>
      <c r="DI20" s="233"/>
      <c r="DJ20" s="233"/>
      <c r="DK20" s="233"/>
      <c r="DL20" s="233"/>
      <c r="DM20" s="233"/>
      <c r="DN20" s="233"/>
      <c r="DO20" s="233"/>
      <c r="DP20" s="233"/>
      <c r="DQ20" s="233"/>
      <c r="DR20" s="233"/>
      <c r="DS20" s="233"/>
      <c r="DT20" s="233"/>
      <c r="DU20" s="233"/>
      <c r="DV20" s="233"/>
      <c r="DW20" s="233"/>
      <c r="DX20" s="233"/>
      <c r="DY20" s="233"/>
      <c r="DZ20" s="233"/>
      <c r="EA20" s="233"/>
      <c r="EB20" s="233"/>
      <c r="EC20" s="233"/>
      <c r="ED20" s="233"/>
      <c r="EE20" s="233"/>
      <c r="EF20" s="233"/>
      <c r="EG20" s="233"/>
      <c r="EH20" s="233"/>
      <c r="EI20" s="233"/>
      <c r="EJ20" s="233"/>
      <c r="EK20" s="233"/>
      <c r="EL20" s="233"/>
      <c r="EM20" s="233"/>
      <c r="EN20" s="233"/>
      <c r="EO20" s="233"/>
      <c r="EP20" s="233"/>
      <c r="EQ20" s="233"/>
      <c r="ER20" s="233"/>
      <c r="ES20" s="233"/>
      <c r="ET20" s="233"/>
      <c r="EU20" s="233"/>
      <c r="EV20" s="233"/>
      <c r="EW20" s="233"/>
      <c r="EX20" s="233"/>
      <c r="EY20" s="233"/>
      <c r="EZ20" s="233"/>
      <c r="FA20" s="233"/>
      <c r="FB20" s="233"/>
      <c r="FC20" s="233"/>
      <c r="FD20" s="233"/>
      <c r="FE20" s="233"/>
      <c r="FF20" s="233"/>
      <c r="FG20" s="233"/>
      <c r="FH20" s="233"/>
      <c r="FI20" s="233"/>
      <c r="FJ20" s="233"/>
      <c r="FK20" s="233"/>
      <c r="FL20" s="233"/>
      <c r="FM20" s="233"/>
      <c r="FN20" s="233"/>
      <c r="FO20" s="233"/>
      <c r="FP20" s="233"/>
      <c r="FQ20" s="233"/>
      <c r="FR20" s="233"/>
      <c r="FS20" s="233"/>
      <c r="FT20" s="233"/>
      <c r="FU20" s="233"/>
      <c r="FV20" s="233"/>
      <c r="FW20" s="233"/>
      <c r="FX20" s="233"/>
      <c r="FY20" s="233"/>
      <c r="FZ20" s="233"/>
      <c r="GA20" s="233"/>
      <c r="GB20" s="233"/>
      <c r="GC20" s="233"/>
      <c r="GD20" s="233"/>
      <c r="GE20" s="233"/>
      <c r="GF20" s="233"/>
      <c r="GG20" s="233"/>
      <c r="GH20" s="233"/>
      <c r="GI20" s="233"/>
      <c r="GJ20" s="233"/>
      <c r="GK20" s="233"/>
      <c r="GL20" s="233"/>
      <c r="GM20" s="233"/>
      <c r="GN20" s="233"/>
      <c r="GO20" s="233"/>
      <c r="GP20" s="233"/>
      <c r="GQ20" s="233"/>
      <c r="GR20" s="233"/>
      <c r="GS20" s="233"/>
      <c r="GT20" s="233"/>
      <c r="GU20" s="233"/>
      <c r="GV20" s="233"/>
      <c r="GW20" s="233"/>
      <c r="GX20" s="233"/>
      <c r="GY20" s="233"/>
      <c r="GZ20" s="233"/>
      <c r="HA20" s="233"/>
      <c r="HB20" s="233"/>
      <c r="HC20" s="233"/>
      <c r="HD20" s="233"/>
      <c r="HE20" s="233"/>
      <c r="HF20" s="233"/>
      <c r="HG20" s="233"/>
      <c r="HH20" s="233"/>
      <c r="HI20" s="233"/>
      <c r="HJ20" s="233"/>
      <c r="HK20" s="233"/>
      <c r="HL20" s="233"/>
      <c r="HM20" s="233"/>
      <c r="HN20" s="233"/>
      <c r="HO20" s="233"/>
      <c r="HP20" s="233"/>
      <c r="HQ20" s="233"/>
      <c r="HR20" s="233"/>
      <c r="HS20" s="233"/>
      <c r="HT20" s="233"/>
      <c r="HU20" s="233"/>
      <c r="HV20" s="233"/>
      <c r="HW20" s="233"/>
      <c r="HX20" s="233"/>
      <c r="HY20" s="233"/>
      <c r="HZ20" s="233"/>
      <c r="IA20" s="233"/>
      <c r="IB20" s="233"/>
      <c r="IC20" s="233"/>
      <c r="ID20" s="233"/>
      <c r="IE20" s="233"/>
      <c r="IF20" s="233"/>
      <c r="IG20" s="233"/>
      <c r="IH20" s="233"/>
      <c r="II20" s="233"/>
      <c r="IJ20" s="233"/>
      <c r="IK20" s="233"/>
      <c r="IL20" s="233"/>
      <c r="IM20" s="233"/>
      <c r="IN20" s="233"/>
      <c r="IO20" s="233"/>
      <c r="IP20" s="233"/>
      <c r="IQ20" s="233"/>
      <c r="IR20" s="233"/>
      <c r="IS20" s="233"/>
      <c r="IT20" s="233"/>
      <c r="IU20" s="233"/>
      <c r="IV20" s="233"/>
      <c r="IW20" s="233"/>
      <c r="IX20" s="233"/>
      <c r="IY20" s="233"/>
      <c r="IZ20" s="233"/>
      <c r="JA20" s="233"/>
      <c r="JB20" s="233"/>
      <c r="JC20" s="233"/>
      <c r="JD20" s="233"/>
      <c r="JE20" s="233"/>
      <c r="JF20" s="233"/>
      <c r="JG20" s="233"/>
      <c r="JH20" s="233"/>
      <c r="JI20" s="233"/>
      <c r="JJ20" s="233"/>
      <c r="JK20" s="233"/>
      <c r="JL20" s="233"/>
      <c r="JM20" s="233"/>
      <c r="JN20" s="233"/>
      <c r="JO20" s="233"/>
      <c r="JP20" s="233"/>
      <c r="JQ20" s="233"/>
      <c r="JR20" s="233"/>
      <c r="JS20" s="233"/>
      <c r="JT20" s="233"/>
      <c r="JU20" s="233"/>
      <c r="JV20" s="233"/>
      <c r="JW20" s="233"/>
      <c r="JX20" s="233"/>
      <c r="JY20" s="233"/>
      <c r="JZ20" s="233"/>
      <c r="KA20" s="233"/>
      <c r="KB20" s="233"/>
      <c r="KC20" s="233"/>
      <c r="KD20" s="233"/>
      <c r="KE20" s="233"/>
      <c r="KF20" s="233"/>
      <c r="KG20" s="233"/>
      <c r="KH20" s="233"/>
      <c r="KI20" s="233"/>
      <c r="KJ20" s="233"/>
      <c r="KK20" s="233"/>
      <c r="KL20" s="233"/>
      <c r="KM20" s="233"/>
      <c r="KN20" s="233"/>
      <c r="KO20" s="233"/>
      <c r="KP20" s="233"/>
      <c r="KQ20" s="233"/>
      <c r="KR20" s="233"/>
      <c r="KS20" s="233"/>
      <c r="KT20" s="233"/>
      <c r="KU20" s="233"/>
      <c r="KV20" s="233"/>
      <c r="KW20" s="233"/>
      <c r="KX20" s="233"/>
      <c r="KY20" s="233"/>
      <c r="KZ20" s="233"/>
      <c r="LA20" s="233"/>
      <c r="LB20" s="233"/>
      <c r="LC20" s="233"/>
      <c r="LD20" s="233"/>
      <c r="LE20" s="233"/>
      <c r="LF20" s="233"/>
      <c r="LG20" s="233"/>
      <c r="LH20" s="233"/>
      <c r="LI20" s="233"/>
      <c r="LJ20" s="233"/>
      <c r="LK20" s="233"/>
      <c r="LL20" s="233"/>
      <c r="LM20" s="233"/>
      <c r="LN20" s="233"/>
      <c r="LO20" s="233"/>
      <c r="LP20" s="233"/>
      <c r="LQ20" s="233"/>
      <c r="LR20" s="233"/>
      <c r="LS20" s="233"/>
      <c r="LT20" s="233"/>
      <c r="LU20" s="233"/>
      <c r="LV20" s="233"/>
      <c r="LW20" s="233"/>
      <c r="LX20" s="233"/>
      <c r="LY20" s="233"/>
      <c r="LZ20" s="233"/>
      <c r="MA20" s="233"/>
    </row>
    <row r="21" spans="1:339" s="56" customFormat="1" ht="60" hidden="1" customHeight="1" outlineLevel="1" x14ac:dyDescent="0.25">
      <c r="A21" s="50" t="s">
        <v>1304</v>
      </c>
      <c r="B21" s="50" t="s">
        <v>1305</v>
      </c>
      <c r="C21" s="50" t="s">
        <v>1337</v>
      </c>
      <c r="D21" s="50" t="s">
        <v>2126</v>
      </c>
      <c r="E21" s="164" t="s">
        <v>2125</v>
      </c>
      <c r="F21" s="90" t="s">
        <v>243</v>
      </c>
      <c r="G21" s="90"/>
      <c r="H21" s="165"/>
      <c r="I21" s="15"/>
      <c r="J21" s="111" t="str">
        <f>IF(H21&gt;0,(H21*VLOOKUP(Lookups!$K$11,Lookups!$M$10:$P$43,4,0)/VLOOKUP(I21,Lookups!$M$10:$P$43,4,0)),"")</f>
        <v/>
      </c>
      <c r="K21" s="165"/>
      <c r="L21" s="15"/>
      <c r="M21" s="111" t="str">
        <f>IF(K21&gt;0,(K21*VLOOKUP(Lookups!$K$11,Lookups!$M$10:$P$43,4,0)/VLOOKUP(L21,Lookups!$M$10:$P$43,4,0)),"")</f>
        <v/>
      </c>
      <c r="N21" s="198">
        <f>2.39072628500839/100</f>
        <v>2.3907262850083901E-2</v>
      </c>
      <c r="O21" s="15" t="s">
        <v>1522</v>
      </c>
      <c r="P21" s="111">
        <f>IF(N21&gt;0,(N21*VLOOKUP(Lookups!$K$11,Lookups!$M$10:$P$43,4,0)/VLOOKUP(O21,Lookups!$M$10:$P$43,4,0)),"")</f>
        <v>2.3907262850083901E-2</v>
      </c>
      <c r="Q21" s="234" t="s">
        <v>1340</v>
      </c>
      <c r="R21" s="15" t="s">
        <v>154</v>
      </c>
      <c r="S21" s="174" t="s">
        <v>2712</v>
      </c>
      <c r="T21" s="15" t="s">
        <v>923</v>
      </c>
      <c r="U21" s="90" t="s">
        <v>3117</v>
      </c>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33"/>
      <c r="DJ21" s="233"/>
      <c r="DK21" s="233"/>
      <c r="DL21" s="233"/>
      <c r="DM21" s="233"/>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233"/>
      <c r="EN21" s="233"/>
      <c r="EO21" s="233"/>
      <c r="EP21" s="233"/>
      <c r="EQ21" s="233"/>
      <c r="ER21" s="233"/>
      <c r="ES21" s="233"/>
      <c r="ET21" s="233"/>
      <c r="EU21" s="233"/>
      <c r="EV21" s="233"/>
      <c r="EW21" s="233"/>
      <c r="EX21" s="233"/>
      <c r="EY21" s="233"/>
      <c r="EZ21" s="233"/>
      <c r="FA21" s="233"/>
      <c r="FB21" s="233"/>
      <c r="FC21" s="233"/>
      <c r="FD21" s="233"/>
      <c r="FE21" s="233"/>
      <c r="FF21" s="233"/>
      <c r="FG21" s="233"/>
      <c r="FH21" s="233"/>
      <c r="FI21" s="233"/>
      <c r="FJ21" s="233"/>
      <c r="FK21" s="233"/>
      <c r="FL21" s="233"/>
      <c r="FM21" s="233"/>
      <c r="FN21" s="233"/>
      <c r="FO21" s="233"/>
      <c r="FP21" s="233"/>
      <c r="FQ21" s="233"/>
      <c r="FR21" s="233"/>
      <c r="FS21" s="233"/>
      <c r="FT21" s="233"/>
      <c r="FU21" s="233"/>
      <c r="FV21" s="233"/>
      <c r="FW21" s="233"/>
      <c r="FX21" s="233"/>
      <c r="FY21" s="233"/>
      <c r="FZ21" s="233"/>
      <c r="GA21" s="233"/>
      <c r="GB21" s="233"/>
      <c r="GC21" s="233"/>
      <c r="GD21" s="233"/>
      <c r="GE21" s="233"/>
      <c r="GF21" s="233"/>
      <c r="GG21" s="233"/>
      <c r="GH21" s="233"/>
      <c r="GI21" s="233"/>
      <c r="GJ21" s="233"/>
      <c r="GK21" s="233"/>
      <c r="GL21" s="233"/>
      <c r="GM21" s="233"/>
      <c r="GN21" s="233"/>
      <c r="GO21" s="233"/>
      <c r="GP21" s="233"/>
      <c r="GQ21" s="233"/>
      <c r="GR21" s="233"/>
      <c r="GS21" s="233"/>
      <c r="GT21" s="233"/>
      <c r="GU21" s="233"/>
      <c r="GV21" s="233"/>
      <c r="GW21" s="233"/>
      <c r="GX21" s="233"/>
      <c r="GY21" s="233"/>
      <c r="GZ21" s="233"/>
      <c r="HA21" s="233"/>
      <c r="HB21" s="233"/>
      <c r="HC21" s="233"/>
      <c r="HD21" s="233"/>
      <c r="HE21" s="233"/>
      <c r="HF21" s="233"/>
      <c r="HG21" s="233"/>
      <c r="HH21" s="233"/>
      <c r="HI21" s="233"/>
      <c r="HJ21" s="233"/>
      <c r="HK21" s="233"/>
      <c r="HL21" s="233"/>
      <c r="HM21" s="233"/>
      <c r="HN21" s="233"/>
      <c r="HO21" s="233"/>
      <c r="HP21" s="233"/>
      <c r="HQ21" s="233"/>
      <c r="HR21" s="233"/>
      <c r="HS21" s="233"/>
      <c r="HT21" s="233"/>
      <c r="HU21" s="233"/>
      <c r="HV21" s="233"/>
      <c r="HW21" s="233"/>
      <c r="HX21" s="233"/>
      <c r="HY21" s="233"/>
      <c r="HZ21" s="233"/>
      <c r="IA21" s="233"/>
      <c r="IB21" s="233"/>
      <c r="IC21" s="233"/>
      <c r="ID21" s="233"/>
      <c r="IE21" s="233"/>
      <c r="IF21" s="233"/>
      <c r="IG21" s="233"/>
      <c r="IH21" s="233"/>
      <c r="II21" s="233"/>
      <c r="IJ21" s="233"/>
      <c r="IK21" s="233"/>
      <c r="IL21" s="233"/>
      <c r="IM21" s="233"/>
      <c r="IN21" s="233"/>
      <c r="IO21" s="233"/>
      <c r="IP21" s="233"/>
      <c r="IQ21" s="233"/>
      <c r="IR21" s="233"/>
      <c r="IS21" s="233"/>
      <c r="IT21" s="233"/>
      <c r="IU21" s="233"/>
      <c r="IV21" s="233"/>
      <c r="IW21" s="233"/>
      <c r="IX21" s="233"/>
      <c r="IY21" s="233"/>
      <c r="IZ21" s="233"/>
      <c r="JA21" s="233"/>
      <c r="JB21" s="233"/>
      <c r="JC21" s="233"/>
      <c r="JD21" s="233"/>
      <c r="JE21" s="233"/>
      <c r="JF21" s="233"/>
      <c r="JG21" s="233"/>
      <c r="JH21" s="233"/>
      <c r="JI21" s="233"/>
      <c r="JJ21" s="233"/>
      <c r="JK21" s="233"/>
      <c r="JL21" s="233"/>
      <c r="JM21" s="233"/>
      <c r="JN21" s="233"/>
      <c r="JO21" s="233"/>
      <c r="JP21" s="233"/>
      <c r="JQ21" s="233"/>
      <c r="JR21" s="233"/>
      <c r="JS21" s="233"/>
      <c r="JT21" s="233"/>
      <c r="JU21" s="233"/>
      <c r="JV21" s="233"/>
      <c r="JW21" s="233"/>
      <c r="JX21" s="233"/>
      <c r="JY21" s="233"/>
      <c r="JZ21" s="233"/>
      <c r="KA21" s="233"/>
      <c r="KB21" s="233"/>
      <c r="KC21" s="233"/>
      <c r="KD21" s="233"/>
      <c r="KE21" s="233"/>
      <c r="KF21" s="233"/>
      <c r="KG21" s="233"/>
      <c r="KH21" s="233"/>
      <c r="KI21" s="233"/>
      <c r="KJ21" s="233"/>
      <c r="KK21" s="233"/>
      <c r="KL21" s="233"/>
      <c r="KM21" s="233"/>
      <c r="KN21" s="233"/>
      <c r="KO21" s="233"/>
      <c r="KP21" s="233"/>
      <c r="KQ21" s="233"/>
      <c r="KR21" s="233"/>
      <c r="KS21" s="233"/>
      <c r="KT21" s="233"/>
      <c r="KU21" s="233"/>
      <c r="KV21" s="233"/>
      <c r="KW21" s="233"/>
      <c r="KX21" s="233"/>
      <c r="KY21" s="233"/>
      <c r="KZ21" s="233"/>
      <c r="LA21" s="233"/>
      <c r="LB21" s="233"/>
      <c r="LC21" s="233"/>
      <c r="LD21" s="233"/>
      <c r="LE21" s="233"/>
      <c r="LF21" s="233"/>
      <c r="LG21" s="233"/>
      <c r="LH21" s="233"/>
      <c r="LI21" s="233"/>
      <c r="LJ21" s="233"/>
      <c r="LK21" s="233"/>
      <c r="LL21" s="233"/>
      <c r="LM21" s="233"/>
      <c r="LN21" s="233"/>
      <c r="LO21" s="233"/>
      <c r="LP21" s="233"/>
      <c r="LQ21" s="233"/>
      <c r="LR21" s="233"/>
      <c r="LS21" s="233"/>
      <c r="LT21" s="233"/>
      <c r="LU21" s="233"/>
      <c r="LV21" s="233"/>
      <c r="LW21" s="233"/>
      <c r="LX21" s="233"/>
      <c r="LY21" s="233"/>
      <c r="LZ21" s="233"/>
      <c r="MA21" s="233"/>
    </row>
    <row r="22" spans="1:339" s="56" customFormat="1" ht="60" customHeight="1" collapsed="1" x14ac:dyDescent="0.25">
      <c r="A22" s="40" t="s">
        <v>1304</v>
      </c>
      <c r="B22" s="40" t="s">
        <v>1305</v>
      </c>
      <c r="C22" s="48" t="s">
        <v>1342</v>
      </c>
      <c r="D22" s="40" t="s">
        <v>1343</v>
      </c>
      <c r="E22" s="164" t="s">
        <v>2127</v>
      </c>
      <c r="F22" s="90" t="s">
        <v>243</v>
      </c>
      <c r="G22" s="90"/>
      <c r="H22" s="165"/>
      <c r="I22" s="15"/>
      <c r="J22" s="111" t="str">
        <f>IF(H22&gt;0,(H22*VLOOKUP(Lookups!$K$11,Lookups!$M$10:$P$43,4,0)/VLOOKUP(I22,Lookups!$M$10:$P$43,4,0)),"")</f>
        <v/>
      </c>
      <c r="K22" s="198">
        <f>40.1518059170099/100</f>
        <v>0.40151805917009903</v>
      </c>
      <c r="L22" s="15" t="s">
        <v>1522</v>
      </c>
      <c r="M22" s="111">
        <f>IF(K22&gt;0,(K22*VLOOKUP(Lookups!$K$11,Lookups!$M$10:$P$43,4,0)/VLOOKUP(L22,Lookups!$M$10:$P$43,4,0)),"")</f>
        <v>0.40151805917009908</v>
      </c>
      <c r="N22" s="165"/>
      <c r="O22" s="15"/>
      <c r="P22" s="111" t="str">
        <f>IF(N22&gt;0,(N22*VLOOKUP(Lookups!$K$11,Lookups!$M$10:$P$43,4,0)/VLOOKUP(O22,Lookups!$M$10:$P$43,4,0)),"")</f>
        <v/>
      </c>
      <c r="Q22" s="234" t="s">
        <v>1358</v>
      </c>
      <c r="R22" s="15" t="s">
        <v>154</v>
      </c>
      <c r="S22" s="107" t="s">
        <v>2713</v>
      </c>
      <c r="T22" s="15" t="s">
        <v>923</v>
      </c>
      <c r="U22" s="90" t="s">
        <v>3117</v>
      </c>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3"/>
      <c r="CN22" s="233"/>
      <c r="CO22" s="233"/>
      <c r="CP22" s="233"/>
      <c r="CQ22" s="233"/>
      <c r="CR22" s="233"/>
      <c r="CS22" s="233"/>
      <c r="CT22" s="233"/>
      <c r="CU22" s="233"/>
      <c r="CV22" s="233"/>
      <c r="CW22" s="233"/>
      <c r="CX22" s="233"/>
      <c r="CY22" s="233"/>
      <c r="CZ22" s="233"/>
      <c r="DA22" s="233"/>
      <c r="DB22" s="233"/>
      <c r="DC22" s="233"/>
      <c r="DD22" s="233"/>
      <c r="DE22" s="233"/>
      <c r="DF22" s="233"/>
      <c r="DG22" s="233"/>
      <c r="DH22" s="233"/>
      <c r="DI22" s="233"/>
      <c r="DJ22" s="233"/>
      <c r="DK22" s="233"/>
      <c r="DL22" s="233"/>
      <c r="DM22" s="233"/>
      <c r="DN22" s="233"/>
      <c r="DO22" s="233"/>
      <c r="DP22" s="233"/>
      <c r="DQ22" s="233"/>
      <c r="DR22" s="233"/>
      <c r="DS22" s="233"/>
      <c r="DT22" s="233"/>
      <c r="DU22" s="233"/>
      <c r="DV22" s="233"/>
      <c r="DW22" s="233"/>
      <c r="DX22" s="233"/>
      <c r="DY22" s="233"/>
      <c r="DZ22" s="233"/>
      <c r="EA22" s="233"/>
      <c r="EB22" s="233"/>
      <c r="EC22" s="233"/>
      <c r="ED22" s="233"/>
      <c r="EE22" s="233"/>
      <c r="EF22" s="233"/>
      <c r="EG22" s="233"/>
      <c r="EH22" s="233"/>
      <c r="EI22" s="233"/>
      <c r="EJ22" s="233"/>
      <c r="EK22" s="233"/>
      <c r="EL22" s="233"/>
      <c r="EM22" s="233"/>
      <c r="EN22" s="233"/>
      <c r="EO22" s="233"/>
      <c r="EP22" s="233"/>
      <c r="EQ22" s="233"/>
      <c r="ER22" s="233"/>
      <c r="ES22" s="233"/>
      <c r="ET22" s="233"/>
      <c r="EU22" s="233"/>
      <c r="EV22" s="233"/>
      <c r="EW22" s="233"/>
      <c r="EX22" s="233"/>
      <c r="EY22" s="233"/>
      <c r="EZ22" s="233"/>
      <c r="FA22" s="233"/>
      <c r="FB22" s="233"/>
      <c r="FC22" s="233"/>
      <c r="FD22" s="233"/>
      <c r="FE22" s="233"/>
      <c r="FF22" s="233"/>
      <c r="FG22" s="233"/>
      <c r="FH22" s="233"/>
      <c r="FI22" s="233"/>
      <c r="FJ22" s="233"/>
      <c r="FK22" s="233"/>
      <c r="FL22" s="233"/>
      <c r="FM22" s="233"/>
      <c r="FN22" s="233"/>
      <c r="FO22" s="233"/>
      <c r="FP22" s="233"/>
      <c r="FQ22" s="233"/>
      <c r="FR22" s="233"/>
      <c r="FS22" s="233"/>
      <c r="FT22" s="233"/>
      <c r="FU22" s="233"/>
      <c r="FV22" s="233"/>
      <c r="FW22" s="233"/>
      <c r="FX22" s="233"/>
      <c r="FY22" s="233"/>
      <c r="FZ22" s="233"/>
      <c r="GA22" s="233"/>
      <c r="GB22" s="233"/>
      <c r="GC22" s="233"/>
      <c r="GD22" s="233"/>
      <c r="GE22" s="233"/>
      <c r="GF22" s="233"/>
      <c r="GG22" s="233"/>
      <c r="GH22" s="233"/>
      <c r="GI22" s="233"/>
      <c r="GJ22" s="233"/>
      <c r="GK22" s="233"/>
      <c r="GL22" s="233"/>
      <c r="GM22" s="233"/>
      <c r="GN22" s="233"/>
      <c r="GO22" s="233"/>
      <c r="GP22" s="233"/>
      <c r="GQ22" s="233"/>
      <c r="GR22" s="233"/>
      <c r="GS22" s="233"/>
      <c r="GT22" s="233"/>
      <c r="GU22" s="233"/>
      <c r="GV22" s="233"/>
      <c r="GW22" s="233"/>
      <c r="GX22" s="233"/>
      <c r="GY22" s="233"/>
      <c r="GZ22" s="233"/>
      <c r="HA22" s="233"/>
      <c r="HB22" s="233"/>
      <c r="HC22" s="233"/>
      <c r="HD22" s="233"/>
      <c r="HE22" s="233"/>
      <c r="HF22" s="233"/>
      <c r="HG22" s="233"/>
      <c r="HH22" s="233"/>
      <c r="HI22" s="233"/>
      <c r="HJ22" s="233"/>
      <c r="HK22" s="233"/>
      <c r="HL22" s="233"/>
      <c r="HM22" s="233"/>
      <c r="HN22" s="233"/>
      <c r="HO22" s="233"/>
      <c r="HP22" s="233"/>
      <c r="HQ22" s="233"/>
      <c r="HR22" s="233"/>
      <c r="HS22" s="233"/>
      <c r="HT22" s="233"/>
      <c r="HU22" s="233"/>
      <c r="HV22" s="233"/>
      <c r="HW22" s="233"/>
      <c r="HX22" s="233"/>
      <c r="HY22" s="233"/>
      <c r="HZ22" s="233"/>
      <c r="IA22" s="233"/>
      <c r="IB22" s="233"/>
      <c r="IC22" s="233"/>
      <c r="ID22" s="233"/>
      <c r="IE22" s="233"/>
      <c r="IF22" s="233"/>
      <c r="IG22" s="233"/>
      <c r="IH22" s="233"/>
      <c r="II22" s="233"/>
      <c r="IJ22" s="233"/>
      <c r="IK22" s="233"/>
      <c r="IL22" s="233"/>
      <c r="IM22" s="233"/>
      <c r="IN22" s="233"/>
      <c r="IO22" s="233"/>
      <c r="IP22" s="233"/>
      <c r="IQ22" s="233"/>
      <c r="IR22" s="233"/>
      <c r="IS22" s="233"/>
      <c r="IT22" s="233"/>
      <c r="IU22" s="233"/>
      <c r="IV22" s="233"/>
      <c r="IW22" s="233"/>
      <c r="IX22" s="233"/>
      <c r="IY22" s="233"/>
      <c r="IZ22" s="233"/>
      <c r="JA22" s="233"/>
      <c r="JB22" s="233"/>
      <c r="JC22" s="233"/>
      <c r="JD22" s="233"/>
      <c r="JE22" s="233"/>
      <c r="JF22" s="233"/>
      <c r="JG22" s="233"/>
      <c r="JH22" s="233"/>
      <c r="JI22" s="233"/>
      <c r="JJ22" s="233"/>
      <c r="JK22" s="233"/>
      <c r="JL22" s="233"/>
      <c r="JM22" s="233"/>
      <c r="JN22" s="233"/>
      <c r="JO22" s="233"/>
      <c r="JP22" s="233"/>
      <c r="JQ22" s="233"/>
      <c r="JR22" s="233"/>
      <c r="JS22" s="233"/>
      <c r="JT22" s="233"/>
      <c r="JU22" s="233"/>
      <c r="JV22" s="233"/>
      <c r="JW22" s="233"/>
      <c r="JX22" s="233"/>
      <c r="JY22" s="233"/>
      <c r="JZ22" s="233"/>
      <c r="KA22" s="233"/>
      <c r="KB22" s="233"/>
      <c r="KC22" s="233"/>
      <c r="KD22" s="233"/>
      <c r="KE22" s="233"/>
      <c r="KF22" s="233"/>
      <c r="KG22" s="233"/>
      <c r="KH22" s="233"/>
      <c r="KI22" s="233"/>
      <c r="KJ22" s="233"/>
      <c r="KK22" s="233"/>
      <c r="KL22" s="233"/>
      <c r="KM22" s="233"/>
      <c r="KN22" s="233"/>
      <c r="KO22" s="233"/>
      <c r="KP22" s="233"/>
      <c r="KQ22" s="233"/>
      <c r="KR22" s="233"/>
      <c r="KS22" s="233"/>
      <c r="KT22" s="233"/>
      <c r="KU22" s="233"/>
      <c r="KV22" s="233"/>
      <c r="KW22" s="233"/>
      <c r="KX22" s="233"/>
      <c r="KY22" s="233"/>
      <c r="KZ22" s="233"/>
      <c r="LA22" s="233"/>
      <c r="LB22" s="233"/>
      <c r="LC22" s="233"/>
      <c r="LD22" s="233"/>
      <c r="LE22" s="233"/>
      <c r="LF22" s="233"/>
      <c r="LG22" s="233"/>
      <c r="LH22" s="233"/>
      <c r="LI22" s="233"/>
      <c r="LJ22" s="233"/>
      <c r="LK22" s="233"/>
      <c r="LL22" s="233"/>
      <c r="LM22" s="233"/>
      <c r="LN22" s="233"/>
      <c r="LO22" s="233"/>
      <c r="LP22" s="233"/>
      <c r="LQ22" s="233"/>
      <c r="LR22" s="233"/>
      <c r="LS22" s="233"/>
      <c r="LT22" s="233"/>
      <c r="LU22" s="233"/>
      <c r="LV22" s="233"/>
      <c r="LW22" s="233"/>
      <c r="LX22" s="233"/>
      <c r="LY22" s="233"/>
      <c r="LZ22" s="233"/>
      <c r="MA22" s="233"/>
    </row>
    <row r="23" spans="1:339" s="56" customFormat="1" ht="60" hidden="1" customHeight="1" outlineLevel="1" x14ac:dyDescent="0.25">
      <c r="A23" s="50" t="s">
        <v>1304</v>
      </c>
      <c r="B23" s="50" t="s">
        <v>1305</v>
      </c>
      <c r="C23" s="50" t="s">
        <v>1344</v>
      </c>
      <c r="D23" s="50" t="s">
        <v>1346</v>
      </c>
      <c r="E23" s="164" t="s">
        <v>2127</v>
      </c>
      <c r="F23" s="90" t="s">
        <v>243</v>
      </c>
      <c r="G23" s="90"/>
      <c r="H23" s="165"/>
      <c r="I23" s="15"/>
      <c r="J23" s="111" t="str">
        <f>IF(H23&gt;0,(H23*VLOOKUP(Lookups!$K$11,Lookups!$M$10:$P$43,4,0)/VLOOKUP(I23,Lookups!$M$10:$P$43,4,0)),"")</f>
        <v/>
      </c>
      <c r="K23" s="165"/>
      <c r="L23" s="15"/>
      <c r="M23" s="111" t="str">
        <f>IF(K23&gt;0,(K23*VLOOKUP(Lookups!$K$11,Lookups!$M$10:$P$43,4,0)/VLOOKUP(L23,Lookups!$M$10:$P$43,4,0)),"")</f>
        <v/>
      </c>
      <c r="N23" s="198">
        <f>127.194067728627/100</f>
        <v>1.27194067728627</v>
      </c>
      <c r="O23" s="15" t="s">
        <v>1522</v>
      </c>
      <c r="P23" s="111">
        <f>IF(N23&gt;0,(N23*VLOOKUP(Lookups!$K$11,Lookups!$M$10:$P$43,4,0)/VLOOKUP(O23,Lookups!$M$10:$P$43,4,0)),"")</f>
        <v>1.27194067728627</v>
      </c>
      <c r="Q23" s="234" t="s">
        <v>1357</v>
      </c>
      <c r="R23" s="15" t="s">
        <v>154</v>
      </c>
      <c r="S23" s="174" t="s">
        <v>2714</v>
      </c>
      <c r="T23" s="15" t="s">
        <v>923</v>
      </c>
      <c r="U23" s="90" t="s">
        <v>3117</v>
      </c>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233"/>
      <c r="DB23" s="233"/>
      <c r="DC23" s="233"/>
      <c r="DD23" s="233"/>
      <c r="DE23" s="233"/>
      <c r="DF23" s="233"/>
      <c r="DG23" s="233"/>
      <c r="DH23" s="233"/>
      <c r="DI23" s="233"/>
      <c r="DJ23" s="233"/>
      <c r="DK23" s="233"/>
      <c r="DL23" s="233"/>
      <c r="DM23" s="233"/>
      <c r="DN23" s="233"/>
      <c r="DO23" s="233"/>
      <c r="DP23" s="233"/>
      <c r="DQ23" s="233"/>
      <c r="DR23" s="233"/>
      <c r="DS23" s="233"/>
      <c r="DT23" s="233"/>
      <c r="DU23" s="233"/>
      <c r="DV23" s="233"/>
      <c r="DW23" s="233"/>
      <c r="DX23" s="233"/>
      <c r="DY23" s="233"/>
      <c r="DZ23" s="233"/>
      <c r="EA23" s="233"/>
      <c r="EB23" s="233"/>
      <c r="EC23" s="233"/>
      <c r="ED23" s="233"/>
      <c r="EE23" s="233"/>
      <c r="EF23" s="233"/>
      <c r="EG23" s="233"/>
      <c r="EH23" s="233"/>
      <c r="EI23" s="233"/>
      <c r="EJ23" s="233"/>
      <c r="EK23" s="233"/>
      <c r="EL23" s="233"/>
      <c r="EM23" s="233"/>
      <c r="EN23" s="233"/>
      <c r="EO23" s="233"/>
      <c r="EP23" s="233"/>
      <c r="EQ23" s="233"/>
      <c r="ER23" s="233"/>
      <c r="ES23" s="233"/>
      <c r="ET23" s="233"/>
      <c r="EU23" s="233"/>
      <c r="EV23" s="233"/>
      <c r="EW23" s="233"/>
      <c r="EX23" s="233"/>
      <c r="EY23" s="233"/>
      <c r="EZ23" s="233"/>
      <c r="FA23" s="233"/>
      <c r="FB23" s="233"/>
      <c r="FC23" s="233"/>
      <c r="FD23" s="233"/>
      <c r="FE23" s="233"/>
      <c r="FF23" s="233"/>
      <c r="FG23" s="233"/>
      <c r="FH23" s="233"/>
      <c r="FI23" s="233"/>
      <c r="FJ23" s="233"/>
      <c r="FK23" s="233"/>
      <c r="FL23" s="233"/>
      <c r="FM23" s="233"/>
      <c r="FN23" s="233"/>
      <c r="FO23" s="233"/>
      <c r="FP23" s="233"/>
      <c r="FQ23" s="233"/>
      <c r="FR23" s="233"/>
      <c r="FS23" s="233"/>
      <c r="FT23" s="233"/>
      <c r="FU23" s="233"/>
      <c r="FV23" s="233"/>
      <c r="FW23" s="233"/>
      <c r="FX23" s="233"/>
      <c r="FY23" s="233"/>
      <c r="FZ23" s="233"/>
      <c r="GA23" s="233"/>
      <c r="GB23" s="233"/>
      <c r="GC23" s="233"/>
      <c r="GD23" s="233"/>
      <c r="GE23" s="233"/>
      <c r="GF23" s="233"/>
      <c r="GG23" s="233"/>
      <c r="GH23" s="233"/>
      <c r="GI23" s="233"/>
      <c r="GJ23" s="233"/>
      <c r="GK23" s="233"/>
      <c r="GL23" s="233"/>
      <c r="GM23" s="233"/>
      <c r="GN23" s="233"/>
      <c r="GO23" s="233"/>
      <c r="GP23" s="233"/>
      <c r="GQ23" s="233"/>
      <c r="GR23" s="233"/>
      <c r="GS23" s="233"/>
      <c r="GT23" s="233"/>
      <c r="GU23" s="233"/>
      <c r="GV23" s="233"/>
      <c r="GW23" s="233"/>
      <c r="GX23" s="233"/>
      <c r="GY23" s="233"/>
      <c r="GZ23" s="233"/>
      <c r="HA23" s="233"/>
      <c r="HB23" s="233"/>
      <c r="HC23" s="233"/>
      <c r="HD23" s="233"/>
      <c r="HE23" s="233"/>
      <c r="HF23" s="233"/>
      <c r="HG23" s="233"/>
      <c r="HH23" s="233"/>
      <c r="HI23" s="233"/>
      <c r="HJ23" s="233"/>
      <c r="HK23" s="233"/>
      <c r="HL23" s="233"/>
      <c r="HM23" s="233"/>
      <c r="HN23" s="233"/>
      <c r="HO23" s="233"/>
      <c r="HP23" s="233"/>
      <c r="HQ23" s="233"/>
      <c r="HR23" s="233"/>
      <c r="HS23" s="233"/>
      <c r="HT23" s="233"/>
      <c r="HU23" s="233"/>
      <c r="HV23" s="233"/>
      <c r="HW23" s="233"/>
      <c r="HX23" s="233"/>
      <c r="HY23" s="233"/>
      <c r="HZ23" s="233"/>
      <c r="IA23" s="233"/>
      <c r="IB23" s="233"/>
      <c r="IC23" s="233"/>
      <c r="ID23" s="233"/>
      <c r="IE23" s="233"/>
      <c r="IF23" s="233"/>
      <c r="IG23" s="233"/>
      <c r="IH23" s="233"/>
      <c r="II23" s="233"/>
      <c r="IJ23" s="233"/>
      <c r="IK23" s="233"/>
      <c r="IL23" s="233"/>
      <c r="IM23" s="233"/>
      <c r="IN23" s="233"/>
      <c r="IO23" s="233"/>
      <c r="IP23" s="233"/>
      <c r="IQ23" s="233"/>
      <c r="IR23" s="233"/>
      <c r="IS23" s="233"/>
      <c r="IT23" s="233"/>
      <c r="IU23" s="233"/>
      <c r="IV23" s="233"/>
      <c r="IW23" s="233"/>
      <c r="IX23" s="233"/>
      <c r="IY23" s="233"/>
      <c r="IZ23" s="233"/>
      <c r="JA23" s="233"/>
      <c r="JB23" s="233"/>
      <c r="JC23" s="233"/>
      <c r="JD23" s="233"/>
      <c r="JE23" s="233"/>
      <c r="JF23" s="233"/>
      <c r="JG23" s="233"/>
      <c r="JH23" s="233"/>
      <c r="JI23" s="233"/>
      <c r="JJ23" s="233"/>
      <c r="JK23" s="233"/>
      <c r="JL23" s="233"/>
      <c r="JM23" s="233"/>
      <c r="JN23" s="233"/>
      <c r="JO23" s="233"/>
      <c r="JP23" s="233"/>
      <c r="JQ23" s="233"/>
      <c r="JR23" s="233"/>
      <c r="JS23" s="233"/>
      <c r="JT23" s="233"/>
      <c r="JU23" s="233"/>
      <c r="JV23" s="233"/>
      <c r="JW23" s="233"/>
      <c r="JX23" s="233"/>
      <c r="JY23" s="233"/>
      <c r="JZ23" s="233"/>
      <c r="KA23" s="233"/>
      <c r="KB23" s="233"/>
      <c r="KC23" s="233"/>
      <c r="KD23" s="233"/>
      <c r="KE23" s="233"/>
      <c r="KF23" s="233"/>
      <c r="KG23" s="233"/>
      <c r="KH23" s="233"/>
      <c r="KI23" s="233"/>
      <c r="KJ23" s="233"/>
      <c r="KK23" s="233"/>
      <c r="KL23" s="233"/>
      <c r="KM23" s="233"/>
      <c r="KN23" s="233"/>
      <c r="KO23" s="233"/>
      <c r="KP23" s="233"/>
      <c r="KQ23" s="233"/>
      <c r="KR23" s="233"/>
      <c r="KS23" s="233"/>
      <c r="KT23" s="233"/>
      <c r="KU23" s="233"/>
      <c r="KV23" s="233"/>
      <c r="KW23" s="233"/>
      <c r="KX23" s="233"/>
      <c r="KY23" s="233"/>
      <c r="KZ23" s="233"/>
      <c r="LA23" s="233"/>
      <c r="LB23" s="233"/>
      <c r="LC23" s="233"/>
      <c r="LD23" s="233"/>
      <c r="LE23" s="233"/>
      <c r="LF23" s="233"/>
      <c r="LG23" s="233"/>
      <c r="LH23" s="233"/>
      <c r="LI23" s="233"/>
      <c r="LJ23" s="233"/>
      <c r="LK23" s="233"/>
      <c r="LL23" s="233"/>
      <c r="LM23" s="233"/>
      <c r="LN23" s="233"/>
      <c r="LO23" s="233"/>
      <c r="LP23" s="233"/>
      <c r="LQ23" s="233"/>
      <c r="LR23" s="233"/>
      <c r="LS23" s="233"/>
      <c r="LT23" s="233"/>
      <c r="LU23" s="233"/>
      <c r="LV23" s="233"/>
      <c r="LW23" s="233"/>
      <c r="LX23" s="233"/>
      <c r="LY23" s="233"/>
      <c r="LZ23" s="233"/>
      <c r="MA23" s="233"/>
    </row>
    <row r="24" spans="1:339" s="56" customFormat="1" ht="60" hidden="1" customHeight="1" outlineLevel="1" x14ac:dyDescent="0.25">
      <c r="A24" s="50" t="s">
        <v>1304</v>
      </c>
      <c r="B24" s="50" t="s">
        <v>1305</v>
      </c>
      <c r="C24" s="50" t="s">
        <v>1345</v>
      </c>
      <c r="D24" s="50" t="s">
        <v>1366</v>
      </c>
      <c r="E24" s="164" t="s">
        <v>2127</v>
      </c>
      <c r="F24" s="90" t="s">
        <v>243</v>
      </c>
      <c r="G24" s="90"/>
      <c r="H24" s="165"/>
      <c r="I24" s="15"/>
      <c r="J24" s="111" t="str">
        <f>IF(H24&gt;0,(H24*VLOOKUP(Lookups!$K$11,Lookups!$M$10:$P$43,4,0)/VLOOKUP(I24,Lookups!$M$10:$P$43,4,0)),"")</f>
        <v/>
      </c>
      <c r="K24" s="110"/>
      <c r="L24" s="15"/>
      <c r="M24" s="111" t="str">
        <f>IF(K24&gt;0,(K24*VLOOKUP(Lookups!$K$11,Lookups!$M$10:$P$43,4,0)/VLOOKUP(L24,Lookups!$M$10:$P$43,4,0)),"")</f>
        <v/>
      </c>
      <c r="N24" s="198">
        <f>1.39496100394948/100</f>
        <v>1.3949610039494799E-2</v>
      </c>
      <c r="O24" s="15" t="s">
        <v>1520</v>
      </c>
      <c r="P24" s="111">
        <f>IF(N24&gt;0,(N24*VLOOKUP(Lookups!$K$11,Lookups!$M$10:$P$43,4,0)/VLOOKUP(O24,Lookups!$M$10:$P$43,4,0)),"")</f>
        <v>1.4367024529614312E-2</v>
      </c>
      <c r="Q24" s="234" t="s">
        <v>1369</v>
      </c>
      <c r="R24" s="15" t="s">
        <v>154</v>
      </c>
      <c r="S24" s="174" t="s">
        <v>2715</v>
      </c>
      <c r="T24" s="15" t="s">
        <v>923</v>
      </c>
      <c r="U24" s="90" t="s">
        <v>3118</v>
      </c>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c r="DT24" s="233"/>
      <c r="DU24" s="233"/>
      <c r="DV24" s="233"/>
      <c r="DW24" s="233"/>
      <c r="DX24" s="233"/>
      <c r="DY24" s="233"/>
      <c r="DZ24" s="233"/>
      <c r="EA24" s="233"/>
      <c r="EB24" s="233"/>
      <c r="EC24" s="233"/>
      <c r="ED24" s="233"/>
      <c r="EE24" s="233"/>
      <c r="EF24" s="233"/>
      <c r="EG24" s="233"/>
      <c r="EH24" s="233"/>
      <c r="EI24" s="233"/>
      <c r="EJ24" s="233"/>
      <c r="EK24" s="233"/>
      <c r="EL24" s="233"/>
      <c r="EM24" s="233"/>
      <c r="EN24" s="233"/>
      <c r="EO24" s="233"/>
      <c r="EP24" s="233"/>
      <c r="EQ24" s="233"/>
      <c r="ER24" s="233"/>
      <c r="ES24" s="233"/>
      <c r="ET24" s="233"/>
      <c r="EU24" s="233"/>
      <c r="EV24" s="233"/>
      <c r="EW24" s="233"/>
      <c r="EX24" s="233"/>
      <c r="EY24" s="233"/>
      <c r="EZ24" s="233"/>
      <c r="FA24" s="233"/>
      <c r="FB24" s="233"/>
      <c r="FC24" s="233"/>
      <c r="FD24" s="233"/>
      <c r="FE24" s="233"/>
      <c r="FF24" s="233"/>
      <c r="FG24" s="233"/>
      <c r="FH24" s="233"/>
      <c r="FI24" s="233"/>
      <c r="FJ24" s="233"/>
      <c r="FK24" s="233"/>
      <c r="FL24" s="233"/>
      <c r="FM24" s="233"/>
      <c r="FN24" s="233"/>
      <c r="FO24" s="233"/>
      <c r="FP24" s="233"/>
      <c r="FQ24" s="233"/>
      <c r="FR24" s="233"/>
      <c r="FS24" s="233"/>
      <c r="FT24" s="233"/>
      <c r="FU24" s="233"/>
      <c r="FV24" s="233"/>
      <c r="FW24" s="233"/>
      <c r="FX24" s="233"/>
      <c r="FY24" s="233"/>
      <c r="FZ24" s="233"/>
      <c r="GA24" s="233"/>
      <c r="GB24" s="233"/>
      <c r="GC24" s="233"/>
      <c r="GD24" s="233"/>
      <c r="GE24" s="233"/>
      <c r="GF24" s="233"/>
      <c r="GG24" s="233"/>
      <c r="GH24" s="233"/>
      <c r="GI24" s="233"/>
      <c r="GJ24" s="233"/>
      <c r="GK24" s="233"/>
      <c r="GL24" s="233"/>
      <c r="GM24" s="233"/>
      <c r="GN24" s="233"/>
      <c r="GO24" s="233"/>
      <c r="GP24" s="233"/>
      <c r="GQ24" s="233"/>
      <c r="GR24" s="233"/>
      <c r="GS24" s="233"/>
      <c r="GT24" s="233"/>
      <c r="GU24" s="233"/>
      <c r="GV24" s="233"/>
      <c r="GW24" s="233"/>
      <c r="GX24" s="233"/>
      <c r="GY24" s="233"/>
      <c r="GZ24" s="233"/>
      <c r="HA24" s="233"/>
      <c r="HB24" s="233"/>
      <c r="HC24" s="233"/>
      <c r="HD24" s="233"/>
      <c r="HE24" s="233"/>
      <c r="HF24" s="233"/>
      <c r="HG24" s="233"/>
      <c r="HH24" s="233"/>
      <c r="HI24" s="233"/>
      <c r="HJ24" s="233"/>
      <c r="HK24" s="233"/>
      <c r="HL24" s="233"/>
      <c r="HM24" s="233"/>
      <c r="HN24" s="233"/>
      <c r="HO24" s="233"/>
      <c r="HP24" s="233"/>
      <c r="HQ24" s="233"/>
      <c r="HR24" s="233"/>
      <c r="HS24" s="233"/>
      <c r="HT24" s="233"/>
      <c r="HU24" s="233"/>
      <c r="HV24" s="233"/>
      <c r="HW24" s="233"/>
      <c r="HX24" s="233"/>
      <c r="HY24" s="233"/>
      <c r="HZ24" s="233"/>
      <c r="IA24" s="233"/>
      <c r="IB24" s="233"/>
      <c r="IC24" s="233"/>
      <c r="ID24" s="233"/>
      <c r="IE24" s="233"/>
      <c r="IF24" s="233"/>
      <c r="IG24" s="233"/>
      <c r="IH24" s="233"/>
      <c r="II24" s="233"/>
      <c r="IJ24" s="233"/>
      <c r="IK24" s="233"/>
      <c r="IL24" s="233"/>
      <c r="IM24" s="233"/>
      <c r="IN24" s="233"/>
      <c r="IO24" s="233"/>
      <c r="IP24" s="233"/>
      <c r="IQ24" s="233"/>
      <c r="IR24" s="233"/>
      <c r="IS24" s="233"/>
      <c r="IT24" s="233"/>
      <c r="IU24" s="233"/>
      <c r="IV24" s="233"/>
      <c r="IW24" s="233"/>
      <c r="IX24" s="233"/>
      <c r="IY24" s="233"/>
      <c r="IZ24" s="233"/>
      <c r="JA24" s="233"/>
      <c r="JB24" s="233"/>
      <c r="JC24" s="233"/>
      <c r="JD24" s="233"/>
      <c r="JE24" s="233"/>
      <c r="JF24" s="233"/>
      <c r="JG24" s="233"/>
      <c r="JH24" s="233"/>
      <c r="JI24" s="233"/>
      <c r="JJ24" s="233"/>
      <c r="JK24" s="233"/>
      <c r="JL24" s="233"/>
      <c r="JM24" s="233"/>
      <c r="JN24" s="233"/>
      <c r="JO24" s="233"/>
      <c r="JP24" s="233"/>
      <c r="JQ24" s="233"/>
      <c r="JR24" s="233"/>
      <c r="JS24" s="233"/>
      <c r="JT24" s="233"/>
      <c r="JU24" s="233"/>
      <c r="JV24" s="233"/>
      <c r="JW24" s="233"/>
      <c r="JX24" s="233"/>
      <c r="JY24" s="233"/>
      <c r="JZ24" s="233"/>
      <c r="KA24" s="233"/>
      <c r="KB24" s="233"/>
      <c r="KC24" s="233"/>
      <c r="KD24" s="233"/>
      <c r="KE24" s="233"/>
      <c r="KF24" s="233"/>
      <c r="KG24" s="233"/>
      <c r="KH24" s="233"/>
      <c r="KI24" s="233"/>
      <c r="KJ24" s="233"/>
      <c r="KK24" s="233"/>
      <c r="KL24" s="233"/>
      <c r="KM24" s="233"/>
      <c r="KN24" s="233"/>
      <c r="KO24" s="233"/>
      <c r="KP24" s="233"/>
      <c r="KQ24" s="233"/>
      <c r="KR24" s="233"/>
      <c r="KS24" s="233"/>
      <c r="KT24" s="233"/>
      <c r="KU24" s="233"/>
      <c r="KV24" s="233"/>
      <c r="KW24" s="233"/>
      <c r="KX24" s="233"/>
      <c r="KY24" s="233"/>
      <c r="KZ24" s="233"/>
      <c r="LA24" s="233"/>
      <c r="LB24" s="233"/>
      <c r="LC24" s="233"/>
      <c r="LD24" s="233"/>
      <c r="LE24" s="233"/>
      <c r="LF24" s="233"/>
      <c r="LG24" s="233"/>
      <c r="LH24" s="233"/>
      <c r="LI24" s="233"/>
      <c r="LJ24" s="233"/>
      <c r="LK24" s="233"/>
      <c r="LL24" s="233"/>
      <c r="LM24" s="233"/>
      <c r="LN24" s="233"/>
      <c r="LO24" s="233"/>
      <c r="LP24" s="233"/>
      <c r="LQ24" s="233"/>
      <c r="LR24" s="233"/>
      <c r="LS24" s="233"/>
      <c r="LT24" s="233"/>
      <c r="LU24" s="233"/>
      <c r="LV24" s="233"/>
      <c r="LW24" s="233"/>
      <c r="LX24" s="233"/>
      <c r="LY24" s="233"/>
      <c r="LZ24" s="233"/>
      <c r="MA24" s="233"/>
    </row>
    <row r="25" spans="1:339" s="56" customFormat="1" ht="60" hidden="1" customHeight="1" outlineLevel="1" x14ac:dyDescent="0.25">
      <c r="A25" s="50" t="s">
        <v>1304</v>
      </c>
      <c r="B25" s="50" t="s">
        <v>1305</v>
      </c>
      <c r="C25" s="50" t="s">
        <v>1365</v>
      </c>
      <c r="D25" s="50" t="s">
        <v>1347</v>
      </c>
      <c r="E25" s="164" t="s">
        <v>2127</v>
      </c>
      <c r="F25" s="90" t="s">
        <v>243</v>
      </c>
      <c r="G25" s="90"/>
      <c r="H25" s="165"/>
      <c r="I25" s="15"/>
      <c r="J25" s="111" t="str">
        <f>IF(H25&gt;0,(H25*VLOOKUP(Lookups!$K$11,Lookups!$M$10:$P$43,4,0)/VLOOKUP(I25,Lookups!$M$10:$P$43,4,0)),"")</f>
        <v/>
      </c>
      <c r="K25" s="198">
        <f>2.0707361923*(K3/1000)</f>
        <v>0.51354257569039996</v>
      </c>
      <c r="L25" s="15" t="s">
        <v>1522</v>
      </c>
      <c r="M25" s="111">
        <f>IF(K25&gt;0,(K25*VLOOKUP(Lookups!$K$11,Lookups!$M$10:$P$43,4,0)/VLOOKUP(L25,Lookups!$M$10:$P$43,4,0)),"")</f>
        <v>0.51354257569039996</v>
      </c>
      <c r="N25" s="165"/>
      <c r="O25" s="15"/>
      <c r="P25" s="111" t="str">
        <f>IF(N25&gt;0,(N25*VLOOKUP(Lookups!$K$11,Lookups!$M$10:$P$43,4,0)/VLOOKUP(O25,Lookups!$M$10:$P$43,4,0)),"")</f>
        <v/>
      </c>
      <c r="Q25" s="234" t="s">
        <v>1360</v>
      </c>
      <c r="R25" s="15" t="s">
        <v>154</v>
      </c>
      <c r="S25" s="107" t="s">
        <v>2385</v>
      </c>
      <c r="T25" s="15" t="s">
        <v>923</v>
      </c>
      <c r="U25" s="90" t="s">
        <v>3117</v>
      </c>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33"/>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c r="EL25" s="233"/>
      <c r="EM25" s="233"/>
      <c r="EN25" s="233"/>
      <c r="EO25" s="233"/>
      <c r="EP25" s="233"/>
      <c r="EQ25" s="233"/>
      <c r="ER25" s="233"/>
      <c r="ES25" s="233"/>
      <c r="ET25" s="233"/>
      <c r="EU25" s="233"/>
      <c r="EV25" s="233"/>
      <c r="EW25" s="233"/>
      <c r="EX25" s="233"/>
      <c r="EY25" s="233"/>
      <c r="EZ25" s="233"/>
      <c r="FA25" s="233"/>
      <c r="FB25" s="233"/>
      <c r="FC25" s="233"/>
      <c r="FD25" s="233"/>
      <c r="FE25" s="233"/>
      <c r="FF25" s="233"/>
      <c r="FG25" s="233"/>
      <c r="FH25" s="233"/>
      <c r="FI25" s="233"/>
      <c r="FJ25" s="233"/>
      <c r="FK25" s="233"/>
      <c r="FL25" s="233"/>
      <c r="FM25" s="233"/>
      <c r="FN25" s="233"/>
      <c r="FO25" s="233"/>
      <c r="FP25" s="233"/>
      <c r="FQ25" s="233"/>
      <c r="FR25" s="233"/>
      <c r="FS25" s="233"/>
      <c r="FT25" s="233"/>
      <c r="FU25" s="233"/>
      <c r="FV25" s="233"/>
      <c r="FW25" s="233"/>
      <c r="FX25" s="233"/>
      <c r="FY25" s="233"/>
      <c r="FZ25" s="233"/>
      <c r="GA25" s="233"/>
      <c r="GB25" s="233"/>
      <c r="GC25" s="233"/>
      <c r="GD25" s="233"/>
      <c r="GE25" s="233"/>
      <c r="GF25" s="233"/>
      <c r="GG25" s="233"/>
      <c r="GH25" s="233"/>
      <c r="GI25" s="233"/>
      <c r="GJ25" s="233"/>
      <c r="GK25" s="233"/>
      <c r="GL25" s="233"/>
      <c r="GM25" s="233"/>
      <c r="GN25" s="233"/>
      <c r="GO25" s="233"/>
      <c r="GP25" s="233"/>
      <c r="GQ25" s="233"/>
      <c r="GR25" s="233"/>
      <c r="GS25" s="233"/>
      <c r="GT25" s="233"/>
      <c r="GU25" s="233"/>
      <c r="GV25" s="233"/>
      <c r="GW25" s="233"/>
      <c r="GX25" s="233"/>
      <c r="GY25" s="233"/>
      <c r="GZ25" s="233"/>
      <c r="HA25" s="233"/>
      <c r="HB25" s="233"/>
      <c r="HC25" s="233"/>
      <c r="HD25" s="233"/>
      <c r="HE25" s="233"/>
      <c r="HF25" s="233"/>
      <c r="HG25" s="233"/>
      <c r="HH25" s="233"/>
      <c r="HI25" s="233"/>
      <c r="HJ25" s="233"/>
      <c r="HK25" s="233"/>
      <c r="HL25" s="233"/>
      <c r="HM25" s="233"/>
      <c r="HN25" s="233"/>
      <c r="HO25" s="233"/>
      <c r="HP25" s="233"/>
      <c r="HQ25" s="233"/>
      <c r="HR25" s="233"/>
      <c r="HS25" s="233"/>
      <c r="HT25" s="233"/>
      <c r="HU25" s="233"/>
      <c r="HV25" s="233"/>
      <c r="HW25" s="233"/>
      <c r="HX25" s="233"/>
      <c r="HY25" s="233"/>
      <c r="HZ25" s="233"/>
      <c r="IA25" s="233"/>
      <c r="IB25" s="233"/>
      <c r="IC25" s="233"/>
      <c r="ID25" s="233"/>
      <c r="IE25" s="233"/>
      <c r="IF25" s="233"/>
      <c r="IG25" s="233"/>
      <c r="IH25" s="233"/>
      <c r="II25" s="233"/>
      <c r="IJ25" s="233"/>
      <c r="IK25" s="233"/>
      <c r="IL25" s="233"/>
      <c r="IM25" s="233"/>
      <c r="IN25" s="233"/>
      <c r="IO25" s="233"/>
      <c r="IP25" s="233"/>
      <c r="IQ25" s="233"/>
      <c r="IR25" s="233"/>
      <c r="IS25" s="233"/>
      <c r="IT25" s="233"/>
      <c r="IU25" s="233"/>
      <c r="IV25" s="233"/>
      <c r="IW25" s="233"/>
      <c r="IX25" s="233"/>
      <c r="IY25" s="233"/>
      <c r="IZ25" s="233"/>
      <c r="JA25" s="233"/>
      <c r="JB25" s="233"/>
      <c r="JC25" s="233"/>
      <c r="JD25" s="233"/>
      <c r="JE25" s="233"/>
      <c r="JF25" s="233"/>
      <c r="JG25" s="233"/>
      <c r="JH25" s="233"/>
      <c r="JI25" s="233"/>
      <c r="JJ25" s="233"/>
      <c r="JK25" s="233"/>
      <c r="JL25" s="233"/>
      <c r="JM25" s="233"/>
      <c r="JN25" s="233"/>
      <c r="JO25" s="233"/>
      <c r="JP25" s="233"/>
      <c r="JQ25" s="233"/>
      <c r="JR25" s="233"/>
      <c r="JS25" s="233"/>
      <c r="JT25" s="233"/>
      <c r="JU25" s="233"/>
      <c r="JV25" s="233"/>
      <c r="JW25" s="233"/>
      <c r="JX25" s="233"/>
      <c r="JY25" s="233"/>
      <c r="JZ25" s="233"/>
      <c r="KA25" s="233"/>
      <c r="KB25" s="233"/>
      <c r="KC25" s="233"/>
      <c r="KD25" s="233"/>
      <c r="KE25" s="233"/>
      <c r="KF25" s="233"/>
      <c r="KG25" s="233"/>
      <c r="KH25" s="233"/>
      <c r="KI25" s="233"/>
      <c r="KJ25" s="233"/>
      <c r="KK25" s="233"/>
      <c r="KL25" s="233"/>
      <c r="KM25" s="233"/>
      <c r="KN25" s="233"/>
      <c r="KO25" s="233"/>
      <c r="KP25" s="233"/>
      <c r="KQ25" s="233"/>
      <c r="KR25" s="233"/>
      <c r="KS25" s="233"/>
      <c r="KT25" s="233"/>
      <c r="KU25" s="233"/>
      <c r="KV25" s="233"/>
      <c r="KW25" s="233"/>
      <c r="KX25" s="233"/>
      <c r="KY25" s="233"/>
      <c r="KZ25" s="233"/>
      <c r="LA25" s="233"/>
      <c r="LB25" s="233"/>
      <c r="LC25" s="233"/>
      <c r="LD25" s="233"/>
      <c r="LE25" s="233"/>
      <c r="LF25" s="233"/>
      <c r="LG25" s="233"/>
      <c r="LH25" s="233"/>
      <c r="LI25" s="233"/>
      <c r="LJ25" s="233"/>
      <c r="LK25" s="233"/>
      <c r="LL25" s="233"/>
      <c r="LM25" s="233"/>
      <c r="LN25" s="233"/>
      <c r="LO25" s="233"/>
      <c r="LP25" s="233"/>
      <c r="LQ25" s="233"/>
      <c r="LR25" s="233"/>
      <c r="LS25" s="233"/>
      <c r="LT25" s="233"/>
      <c r="LU25" s="233"/>
      <c r="LV25" s="233"/>
      <c r="LW25" s="233"/>
      <c r="LX25" s="233"/>
      <c r="LY25" s="233"/>
      <c r="LZ25" s="233"/>
      <c r="MA25" s="233"/>
    </row>
    <row r="26" spans="1:339" s="56" customFormat="1" ht="60" customHeight="1" collapsed="1" x14ac:dyDescent="0.25">
      <c r="A26" s="40" t="s">
        <v>1304</v>
      </c>
      <c r="B26" s="40" t="s">
        <v>1305</v>
      </c>
      <c r="C26" s="48" t="s">
        <v>1351</v>
      </c>
      <c r="D26" s="40" t="s">
        <v>1354</v>
      </c>
      <c r="E26" s="164" t="s">
        <v>2127</v>
      </c>
      <c r="F26" s="90" t="s">
        <v>243</v>
      </c>
      <c r="G26" s="90"/>
      <c r="H26" s="167"/>
      <c r="I26" s="15"/>
      <c r="J26" s="111" t="str">
        <f>IF(H26&gt;0,(H26*VLOOKUP(Lookups!$K$11,Lookups!$M$10:$P$43,4,0)/VLOOKUP(I26,Lookups!$M$10:$P$43,4,0)),"")</f>
        <v/>
      </c>
      <c r="K26" s="198">
        <f>42.5663896270868/100</f>
        <v>0.42566389627086798</v>
      </c>
      <c r="L26" s="15" t="s">
        <v>1522</v>
      </c>
      <c r="M26" s="111">
        <f>IF(K26&gt;0,(K26*VLOOKUP(Lookups!$K$11,Lookups!$M$10:$P$43,4,0)/VLOOKUP(L26,Lookups!$M$10:$P$43,4,0)),"")</f>
        <v>0.42566389627086798</v>
      </c>
      <c r="N26" s="165"/>
      <c r="O26" s="15"/>
      <c r="P26" s="111" t="str">
        <f>IF(N26&gt;0,(N26*VLOOKUP(Lookups!$K$11,Lookups!$M$10:$P$43,4,0)/VLOOKUP(O26,Lookups!$M$10:$P$43,4,0)),"")</f>
        <v/>
      </c>
      <c r="Q26" s="234" t="s">
        <v>1358</v>
      </c>
      <c r="R26" s="15" t="s">
        <v>154</v>
      </c>
      <c r="S26" s="107" t="s">
        <v>2716</v>
      </c>
      <c r="T26" s="15" t="s">
        <v>923</v>
      </c>
      <c r="U26" s="90" t="s">
        <v>3117</v>
      </c>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3"/>
      <c r="BA26" s="233"/>
      <c r="BB26" s="233"/>
      <c r="BC26" s="233"/>
      <c r="BD26" s="233"/>
      <c r="BE26" s="233"/>
      <c r="BF26" s="233"/>
      <c r="BG26" s="233"/>
      <c r="BH26" s="233"/>
      <c r="BI26" s="233"/>
      <c r="BJ26" s="233"/>
      <c r="BK26" s="233"/>
      <c r="BL26" s="233"/>
      <c r="BM26" s="233"/>
      <c r="BN26" s="233"/>
      <c r="BO26" s="233"/>
      <c r="BP26" s="233"/>
      <c r="BQ26" s="233"/>
      <c r="BR26" s="233"/>
      <c r="BS26" s="233"/>
      <c r="BT26" s="233"/>
      <c r="BU26" s="233"/>
      <c r="BV26" s="233"/>
      <c r="BW26" s="233"/>
      <c r="BX26" s="233"/>
      <c r="BY26" s="233"/>
      <c r="BZ26" s="233"/>
      <c r="CA26" s="233"/>
      <c r="CB26" s="233"/>
      <c r="CC26" s="233"/>
      <c r="CD26" s="233"/>
      <c r="CE26" s="233"/>
      <c r="CF26" s="233"/>
      <c r="CG26" s="233"/>
      <c r="CH26" s="233"/>
      <c r="CI26" s="233"/>
      <c r="CJ26" s="233"/>
      <c r="CK26" s="233"/>
      <c r="CL26" s="233"/>
      <c r="CM26" s="233"/>
      <c r="CN26" s="233"/>
      <c r="CO26" s="233"/>
      <c r="CP26" s="233"/>
      <c r="CQ26" s="233"/>
      <c r="CR26" s="233"/>
      <c r="CS26" s="233"/>
      <c r="CT26" s="233"/>
      <c r="CU26" s="233"/>
      <c r="CV26" s="233"/>
      <c r="CW26" s="233"/>
      <c r="CX26" s="233"/>
      <c r="CY26" s="233"/>
      <c r="CZ26" s="233"/>
      <c r="DA26" s="233"/>
      <c r="DB26" s="233"/>
      <c r="DC26" s="233"/>
      <c r="DD26" s="233"/>
      <c r="DE26" s="233"/>
      <c r="DF26" s="233"/>
      <c r="DG26" s="233"/>
      <c r="DH26" s="233"/>
      <c r="DI26" s="233"/>
      <c r="DJ26" s="233"/>
      <c r="DK26" s="233"/>
      <c r="DL26" s="233"/>
      <c r="DM26" s="233"/>
      <c r="DN26" s="233"/>
      <c r="DO26" s="233"/>
      <c r="DP26" s="233"/>
      <c r="DQ26" s="233"/>
      <c r="DR26" s="233"/>
      <c r="DS26" s="233"/>
      <c r="DT26" s="233"/>
      <c r="DU26" s="233"/>
      <c r="DV26" s="233"/>
      <c r="DW26" s="233"/>
      <c r="DX26" s="233"/>
      <c r="DY26" s="233"/>
      <c r="DZ26" s="233"/>
      <c r="EA26" s="233"/>
      <c r="EB26" s="233"/>
      <c r="EC26" s="233"/>
      <c r="ED26" s="233"/>
      <c r="EE26" s="233"/>
      <c r="EF26" s="233"/>
      <c r="EG26" s="233"/>
      <c r="EH26" s="233"/>
      <c r="EI26" s="233"/>
      <c r="EJ26" s="233"/>
      <c r="EK26" s="233"/>
      <c r="EL26" s="233"/>
      <c r="EM26" s="233"/>
      <c r="EN26" s="233"/>
      <c r="EO26" s="233"/>
      <c r="EP26" s="233"/>
      <c r="EQ26" s="233"/>
      <c r="ER26" s="233"/>
      <c r="ES26" s="233"/>
      <c r="ET26" s="233"/>
      <c r="EU26" s="233"/>
      <c r="EV26" s="233"/>
      <c r="EW26" s="233"/>
      <c r="EX26" s="233"/>
      <c r="EY26" s="233"/>
      <c r="EZ26" s="233"/>
      <c r="FA26" s="233"/>
      <c r="FB26" s="233"/>
      <c r="FC26" s="233"/>
      <c r="FD26" s="233"/>
      <c r="FE26" s="233"/>
      <c r="FF26" s="233"/>
      <c r="FG26" s="233"/>
      <c r="FH26" s="233"/>
      <c r="FI26" s="233"/>
      <c r="FJ26" s="233"/>
      <c r="FK26" s="233"/>
      <c r="FL26" s="233"/>
      <c r="FM26" s="233"/>
      <c r="FN26" s="233"/>
      <c r="FO26" s="233"/>
      <c r="FP26" s="233"/>
      <c r="FQ26" s="233"/>
      <c r="FR26" s="233"/>
      <c r="FS26" s="233"/>
      <c r="FT26" s="233"/>
      <c r="FU26" s="233"/>
      <c r="FV26" s="233"/>
      <c r="FW26" s="233"/>
      <c r="FX26" s="233"/>
      <c r="FY26" s="233"/>
      <c r="FZ26" s="233"/>
      <c r="GA26" s="233"/>
      <c r="GB26" s="233"/>
      <c r="GC26" s="233"/>
      <c r="GD26" s="233"/>
      <c r="GE26" s="233"/>
      <c r="GF26" s="233"/>
      <c r="GG26" s="233"/>
      <c r="GH26" s="233"/>
      <c r="GI26" s="233"/>
      <c r="GJ26" s="233"/>
      <c r="GK26" s="233"/>
      <c r="GL26" s="233"/>
      <c r="GM26" s="233"/>
      <c r="GN26" s="233"/>
      <c r="GO26" s="233"/>
      <c r="GP26" s="233"/>
      <c r="GQ26" s="233"/>
      <c r="GR26" s="233"/>
      <c r="GS26" s="233"/>
      <c r="GT26" s="233"/>
      <c r="GU26" s="233"/>
      <c r="GV26" s="233"/>
      <c r="GW26" s="233"/>
      <c r="GX26" s="233"/>
      <c r="GY26" s="233"/>
      <c r="GZ26" s="233"/>
      <c r="HA26" s="233"/>
      <c r="HB26" s="233"/>
      <c r="HC26" s="233"/>
      <c r="HD26" s="233"/>
      <c r="HE26" s="233"/>
      <c r="HF26" s="233"/>
      <c r="HG26" s="233"/>
      <c r="HH26" s="233"/>
      <c r="HI26" s="233"/>
      <c r="HJ26" s="233"/>
      <c r="HK26" s="233"/>
      <c r="HL26" s="233"/>
      <c r="HM26" s="233"/>
      <c r="HN26" s="233"/>
      <c r="HO26" s="233"/>
      <c r="HP26" s="233"/>
      <c r="HQ26" s="233"/>
      <c r="HR26" s="233"/>
      <c r="HS26" s="233"/>
      <c r="HT26" s="233"/>
      <c r="HU26" s="233"/>
      <c r="HV26" s="233"/>
      <c r="HW26" s="233"/>
      <c r="HX26" s="233"/>
      <c r="HY26" s="233"/>
      <c r="HZ26" s="233"/>
      <c r="IA26" s="233"/>
      <c r="IB26" s="233"/>
      <c r="IC26" s="233"/>
      <c r="ID26" s="233"/>
      <c r="IE26" s="233"/>
      <c r="IF26" s="233"/>
      <c r="IG26" s="233"/>
      <c r="IH26" s="233"/>
      <c r="II26" s="233"/>
      <c r="IJ26" s="233"/>
      <c r="IK26" s="233"/>
      <c r="IL26" s="233"/>
      <c r="IM26" s="233"/>
      <c r="IN26" s="233"/>
      <c r="IO26" s="233"/>
      <c r="IP26" s="233"/>
      <c r="IQ26" s="233"/>
      <c r="IR26" s="233"/>
      <c r="IS26" s="233"/>
      <c r="IT26" s="233"/>
      <c r="IU26" s="233"/>
      <c r="IV26" s="233"/>
      <c r="IW26" s="233"/>
      <c r="IX26" s="233"/>
      <c r="IY26" s="233"/>
      <c r="IZ26" s="233"/>
      <c r="JA26" s="233"/>
      <c r="JB26" s="233"/>
      <c r="JC26" s="233"/>
      <c r="JD26" s="233"/>
      <c r="JE26" s="233"/>
      <c r="JF26" s="233"/>
      <c r="JG26" s="233"/>
      <c r="JH26" s="233"/>
      <c r="JI26" s="233"/>
      <c r="JJ26" s="233"/>
      <c r="JK26" s="233"/>
      <c r="JL26" s="233"/>
      <c r="JM26" s="233"/>
      <c r="JN26" s="233"/>
      <c r="JO26" s="233"/>
      <c r="JP26" s="233"/>
      <c r="JQ26" s="233"/>
      <c r="JR26" s="233"/>
      <c r="JS26" s="233"/>
      <c r="JT26" s="233"/>
      <c r="JU26" s="233"/>
      <c r="JV26" s="233"/>
      <c r="JW26" s="233"/>
      <c r="JX26" s="233"/>
      <c r="JY26" s="233"/>
      <c r="JZ26" s="233"/>
      <c r="KA26" s="233"/>
      <c r="KB26" s="233"/>
      <c r="KC26" s="233"/>
      <c r="KD26" s="233"/>
      <c r="KE26" s="233"/>
      <c r="KF26" s="233"/>
      <c r="KG26" s="233"/>
      <c r="KH26" s="233"/>
      <c r="KI26" s="233"/>
      <c r="KJ26" s="233"/>
      <c r="KK26" s="233"/>
      <c r="KL26" s="233"/>
      <c r="KM26" s="233"/>
      <c r="KN26" s="233"/>
      <c r="KO26" s="233"/>
      <c r="KP26" s="233"/>
      <c r="KQ26" s="233"/>
      <c r="KR26" s="233"/>
      <c r="KS26" s="233"/>
      <c r="KT26" s="233"/>
      <c r="KU26" s="233"/>
      <c r="KV26" s="233"/>
      <c r="KW26" s="233"/>
      <c r="KX26" s="233"/>
      <c r="KY26" s="233"/>
      <c r="KZ26" s="233"/>
      <c r="LA26" s="233"/>
      <c r="LB26" s="233"/>
      <c r="LC26" s="233"/>
      <c r="LD26" s="233"/>
      <c r="LE26" s="233"/>
      <c r="LF26" s="233"/>
      <c r="LG26" s="233"/>
      <c r="LH26" s="233"/>
      <c r="LI26" s="233"/>
      <c r="LJ26" s="233"/>
      <c r="LK26" s="233"/>
      <c r="LL26" s="233"/>
      <c r="LM26" s="233"/>
      <c r="LN26" s="233"/>
      <c r="LO26" s="233"/>
      <c r="LP26" s="233"/>
      <c r="LQ26" s="233"/>
      <c r="LR26" s="233"/>
      <c r="LS26" s="233"/>
      <c r="LT26" s="233"/>
      <c r="LU26" s="233"/>
      <c r="LV26" s="233"/>
      <c r="LW26" s="233"/>
      <c r="LX26" s="233"/>
      <c r="LY26" s="233"/>
      <c r="LZ26" s="233"/>
      <c r="MA26" s="233"/>
    </row>
    <row r="27" spans="1:339" s="54" customFormat="1" ht="60" hidden="1" customHeight="1" outlineLevel="1" x14ac:dyDescent="0.25">
      <c r="A27" s="50" t="s">
        <v>1304</v>
      </c>
      <c r="B27" s="50" t="s">
        <v>1305</v>
      </c>
      <c r="C27" s="50" t="s">
        <v>1352</v>
      </c>
      <c r="D27" s="50" t="s">
        <v>1359</v>
      </c>
      <c r="E27" s="164" t="s">
        <v>2127</v>
      </c>
      <c r="F27" s="90" t="s">
        <v>243</v>
      </c>
      <c r="G27" s="90"/>
      <c r="H27" s="52"/>
      <c r="I27" s="15"/>
      <c r="J27" s="111" t="str">
        <f>IF(H27&gt;0,(H27*VLOOKUP(Lookups!$K$11,Lookups!$M$10:$P$43,4,0)/VLOOKUP(I27,Lookups!$M$10:$P$43,4,0)),"")</f>
        <v/>
      </c>
      <c r="K27" s="52"/>
      <c r="L27" s="15"/>
      <c r="M27" s="111" t="str">
        <f>IF(K27&gt;0,(K27*VLOOKUP(Lookups!$K$11,Lookups!$M$10:$P$43,4,0)/VLOOKUP(L27,Lookups!$M$10:$P$43,4,0)),"")</f>
        <v/>
      </c>
      <c r="N27" s="198">
        <f>130.559712108596/100</f>
        <v>1.3055971210859598</v>
      </c>
      <c r="O27" s="15" t="s">
        <v>1522</v>
      </c>
      <c r="P27" s="111">
        <f>IF(N27&gt;0,(N27*VLOOKUP(Lookups!$K$11,Lookups!$M$10:$P$43,4,0)/VLOOKUP(O27,Lookups!$M$10:$P$43,4,0)),"")</f>
        <v>1.3055971210859598</v>
      </c>
      <c r="Q27" s="234" t="s">
        <v>1357</v>
      </c>
      <c r="R27" s="15" t="s">
        <v>154</v>
      </c>
      <c r="S27" s="174" t="s">
        <v>2717</v>
      </c>
      <c r="T27" s="15" t="s">
        <v>923</v>
      </c>
      <c r="U27" s="90" t="s">
        <v>3117</v>
      </c>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c r="EO27" s="233"/>
      <c r="EP27" s="233"/>
      <c r="EQ27" s="233"/>
      <c r="ER27" s="233"/>
      <c r="ES27" s="233"/>
      <c r="ET27" s="233"/>
      <c r="EU27" s="233"/>
      <c r="EV27" s="233"/>
      <c r="EW27" s="233"/>
      <c r="EX27" s="233"/>
      <c r="EY27" s="233"/>
      <c r="EZ27" s="233"/>
      <c r="FA27" s="233"/>
      <c r="FB27" s="233"/>
      <c r="FC27" s="233"/>
      <c r="FD27" s="233"/>
      <c r="FE27" s="233"/>
      <c r="FF27" s="233"/>
      <c r="FG27" s="233"/>
      <c r="FH27" s="233"/>
      <c r="FI27" s="233"/>
      <c r="FJ27" s="233"/>
      <c r="FK27" s="233"/>
      <c r="FL27" s="233"/>
      <c r="FM27" s="233"/>
      <c r="FN27" s="233"/>
      <c r="FO27" s="233"/>
      <c r="FP27" s="233"/>
      <c r="FQ27" s="233"/>
      <c r="FR27" s="233"/>
      <c r="FS27" s="233"/>
      <c r="FT27" s="233"/>
      <c r="FU27" s="233"/>
      <c r="FV27" s="233"/>
      <c r="FW27" s="233"/>
      <c r="FX27" s="233"/>
      <c r="FY27" s="233"/>
      <c r="FZ27" s="233"/>
      <c r="GA27" s="233"/>
      <c r="GB27" s="233"/>
      <c r="GC27" s="233"/>
      <c r="GD27" s="233"/>
      <c r="GE27" s="233"/>
      <c r="GF27" s="233"/>
      <c r="GG27" s="233"/>
      <c r="GH27" s="233"/>
      <c r="GI27" s="233"/>
      <c r="GJ27" s="233"/>
      <c r="GK27" s="233"/>
      <c r="GL27" s="233"/>
      <c r="GM27" s="233"/>
      <c r="GN27" s="233"/>
      <c r="GO27" s="233"/>
      <c r="GP27" s="233"/>
      <c r="GQ27" s="233"/>
      <c r="GR27" s="233"/>
      <c r="GS27" s="233"/>
      <c r="GT27" s="233"/>
      <c r="GU27" s="233"/>
      <c r="GV27" s="233"/>
      <c r="GW27" s="233"/>
      <c r="GX27" s="233"/>
      <c r="GY27" s="233"/>
      <c r="GZ27" s="233"/>
      <c r="HA27" s="233"/>
      <c r="HB27" s="233"/>
      <c r="HC27" s="233"/>
      <c r="HD27" s="233"/>
      <c r="HE27" s="233"/>
      <c r="HF27" s="233"/>
      <c r="HG27" s="233"/>
      <c r="HH27" s="233"/>
      <c r="HI27" s="233"/>
      <c r="HJ27" s="233"/>
      <c r="HK27" s="233"/>
      <c r="HL27" s="233"/>
      <c r="HM27" s="233"/>
      <c r="HN27" s="233"/>
      <c r="HO27" s="233"/>
      <c r="HP27" s="233"/>
      <c r="HQ27" s="233"/>
      <c r="HR27" s="233"/>
      <c r="HS27" s="233"/>
      <c r="HT27" s="233"/>
      <c r="HU27" s="233"/>
      <c r="HV27" s="233"/>
      <c r="HW27" s="233"/>
      <c r="HX27" s="233"/>
      <c r="HY27" s="233"/>
      <c r="HZ27" s="233"/>
      <c r="IA27" s="233"/>
      <c r="IB27" s="233"/>
      <c r="IC27" s="233"/>
      <c r="ID27" s="233"/>
      <c r="IE27" s="233"/>
      <c r="IF27" s="233"/>
      <c r="IG27" s="233"/>
      <c r="IH27" s="233"/>
      <c r="II27" s="233"/>
      <c r="IJ27" s="233"/>
      <c r="IK27" s="233"/>
      <c r="IL27" s="233"/>
      <c r="IM27" s="233"/>
      <c r="IN27" s="233"/>
      <c r="IO27" s="233"/>
      <c r="IP27" s="233"/>
      <c r="IQ27" s="233"/>
      <c r="IR27" s="233"/>
      <c r="IS27" s="233"/>
      <c r="IT27" s="233"/>
      <c r="IU27" s="233"/>
      <c r="IV27" s="233"/>
      <c r="IW27" s="233"/>
      <c r="IX27" s="233"/>
      <c r="IY27" s="233"/>
      <c r="IZ27" s="233"/>
      <c r="JA27" s="233"/>
      <c r="JB27" s="233"/>
      <c r="JC27" s="233"/>
      <c r="JD27" s="233"/>
      <c r="JE27" s="233"/>
      <c r="JF27" s="233"/>
      <c r="JG27" s="233"/>
      <c r="JH27" s="233"/>
      <c r="JI27" s="233"/>
      <c r="JJ27" s="233"/>
      <c r="JK27" s="233"/>
      <c r="JL27" s="233"/>
      <c r="JM27" s="233"/>
      <c r="JN27" s="233"/>
      <c r="JO27" s="233"/>
      <c r="JP27" s="233"/>
      <c r="JQ27" s="233"/>
      <c r="JR27" s="233"/>
      <c r="JS27" s="233"/>
      <c r="JT27" s="233"/>
      <c r="JU27" s="233"/>
      <c r="JV27" s="233"/>
      <c r="JW27" s="233"/>
      <c r="JX27" s="233"/>
      <c r="JY27" s="233"/>
      <c r="JZ27" s="233"/>
      <c r="KA27" s="233"/>
      <c r="KB27" s="233"/>
      <c r="KC27" s="233"/>
      <c r="KD27" s="233"/>
      <c r="KE27" s="233"/>
      <c r="KF27" s="233"/>
      <c r="KG27" s="233"/>
      <c r="KH27" s="233"/>
      <c r="KI27" s="233"/>
      <c r="KJ27" s="233"/>
      <c r="KK27" s="233"/>
      <c r="KL27" s="233"/>
      <c r="KM27" s="233"/>
      <c r="KN27" s="233"/>
      <c r="KO27" s="233"/>
      <c r="KP27" s="233"/>
      <c r="KQ27" s="233"/>
      <c r="KR27" s="233"/>
      <c r="KS27" s="233"/>
      <c r="KT27" s="233"/>
      <c r="KU27" s="233"/>
      <c r="KV27" s="233"/>
      <c r="KW27" s="233"/>
      <c r="KX27" s="233"/>
      <c r="KY27" s="233"/>
      <c r="KZ27" s="233"/>
      <c r="LA27" s="233"/>
      <c r="LB27" s="233"/>
      <c r="LC27" s="233"/>
      <c r="LD27" s="233"/>
      <c r="LE27" s="233"/>
      <c r="LF27" s="233"/>
      <c r="LG27" s="233"/>
      <c r="LH27" s="233"/>
      <c r="LI27" s="233"/>
      <c r="LJ27" s="233"/>
      <c r="LK27" s="233"/>
      <c r="LL27" s="233"/>
      <c r="LM27" s="233"/>
      <c r="LN27" s="233"/>
      <c r="LO27" s="233"/>
      <c r="LP27" s="233"/>
      <c r="LQ27" s="233"/>
      <c r="LR27" s="233"/>
      <c r="LS27" s="233"/>
      <c r="LT27" s="233"/>
      <c r="LU27" s="233"/>
      <c r="LV27" s="233"/>
      <c r="LW27" s="233"/>
      <c r="LX27" s="233"/>
      <c r="LY27" s="233"/>
      <c r="LZ27" s="233"/>
      <c r="MA27" s="233"/>
    </row>
    <row r="28" spans="1:339" s="54" customFormat="1" ht="60" hidden="1" customHeight="1" outlineLevel="1" x14ac:dyDescent="0.25">
      <c r="A28" s="50" t="s">
        <v>1304</v>
      </c>
      <c r="B28" s="50" t="s">
        <v>1305</v>
      </c>
      <c r="C28" s="50" t="s">
        <v>1353</v>
      </c>
      <c r="D28" s="50" t="s">
        <v>1367</v>
      </c>
      <c r="E28" s="164" t="s">
        <v>2127</v>
      </c>
      <c r="F28" s="90" t="s">
        <v>243</v>
      </c>
      <c r="G28" s="90"/>
      <c r="H28" s="52"/>
      <c r="I28" s="15"/>
      <c r="J28" s="111" t="str">
        <f>IF(H28&gt;0,(H28*VLOOKUP(Lookups!$K$11,Lookups!$M$10:$P$43,4,0)/VLOOKUP(I28,Lookups!$M$10:$P$43,4,0)),"")</f>
        <v/>
      </c>
      <c r="K28" s="110"/>
      <c r="L28" s="15"/>
      <c r="M28" s="111" t="str">
        <f>IF(K28&gt;0,(K28*VLOOKUP(Lookups!$K$11,Lookups!$M$10:$P$43,4,0)/VLOOKUP(L28,Lookups!$M$10:$P$43,4,0)),"")</f>
        <v/>
      </c>
      <c r="N28" s="198">
        <f>11.1813153339827/100</f>
        <v>0.11181315333982701</v>
      </c>
      <c r="O28" s="15" t="s">
        <v>1520</v>
      </c>
      <c r="P28" s="111">
        <f>IF(N28&gt;0,(N28*VLOOKUP(Lookups!$K$11,Lookups!$M$10:$P$43,4,0)/VLOOKUP(O28,Lookups!$M$10:$P$43,4,0)),"")</f>
        <v>0.11515894080326559</v>
      </c>
      <c r="Q28" s="234" t="s">
        <v>1369</v>
      </c>
      <c r="R28" s="15" t="s">
        <v>154</v>
      </c>
      <c r="S28" s="174" t="s">
        <v>2718</v>
      </c>
      <c r="T28" s="15" t="s">
        <v>923</v>
      </c>
      <c r="U28" s="90" t="s">
        <v>3118</v>
      </c>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33"/>
      <c r="DJ28" s="233"/>
      <c r="DK28" s="233"/>
      <c r="DL28" s="233"/>
      <c r="DM28" s="233"/>
      <c r="DN28" s="233"/>
      <c r="DO28" s="233"/>
      <c r="DP28" s="233"/>
      <c r="DQ28" s="233"/>
      <c r="DR28" s="233"/>
      <c r="DS28" s="233"/>
      <c r="DT28" s="233"/>
      <c r="DU28" s="233"/>
      <c r="DV28" s="233"/>
      <c r="DW28" s="233"/>
      <c r="DX28" s="233"/>
      <c r="DY28" s="233"/>
      <c r="DZ28" s="233"/>
      <c r="EA28" s="233"/>
      <c r="EB28" s="233"/>
      <c r="EC28" s="233"/>
      <c r="ED28" s="233"/>
      <c r="EE28" s="233"/>
      <c r="EF28" s="233"/>
      <c r="EG28" s="233"/>
      <c r="EH28" s="233"/>
      <c r="EI28" s="233"/>
      <c r="EJ28" s="233"/>
      <c r="EK28" s="233"/>
      <c r="EL28" s="233"/>
      <c r="EM28" s="233"/>
      <c r="EN28" s="233"/>
      <c r="EO28" s="233"/>
      <c r="EP28" s="233"/>
      <c r="EQ28" s="233"/>
      <c r="ER28" s="233"/>
      <c r="ES28" s="233"/>
      <c r="ET28" s="233"/>
      <c r="EU28" s="233"/>
      <c r="EV28" s="233"/>
      <c r="EW28" s="233"/>
      <c r="EX28" s="233"/>
      <c r="EY28" s="233"/>
      <c r="EZ28" s="233"/>
      <c r="FA28" s="233"/>
      <c r="FB28" s="233"/>
      <c r="FC28" s="233"/>
      <c r="FD28" s="233"/>
      <c r="FE28" s="233"/>
      <c r="FF28" s="233"/>
      <c r="FG28" s="233"/>
      <c r="FH28" s="233"/>
      <c r="FI28" s="233"/>
      <c r="FJ28" s="233"/>
      <c r="FK28" s="233"/>
      <c r="FL28" s="233"/>
      <c r="FM28" s="233"/>
      <c r="FN28" s="233"/>
      <c r="FO28" s="233"/>
      <c r="FP28" s="233"/>
      <c r="FQ28" s="233"/>
      <c r="FR28" s="233"/>
      <c r="FS28" s="233"/>
      <c r="FT28" s="233"/>
      <c r="FU28" s="233"/>
      <c r="FV28" s="233"/>
      <c r="FW28" s="233"/>
      <c r="FX28" s="233"/>
      <c r="FY28" s="233"/>
      <c r="FZ28" s="233"/>
      <c r="GA28" s="233"/>
      <c r="GB28" s="233"/>
      <c r="GC28" s="233"/>
      <c r="GD28" s="233"/>
      <c r="GE28" s="233"/>
      <c r="GF28" s="233"/>
      <c r="GG28" s="233"/>
      <c r="GH28" s="233"/>
      <c r="GI28" s="233"/>
      <c r="GJ28" s="233"/>
      <c r="GK28" s="233"/>
      <c r="GL28" s="233"/>
      <c r="GM28" s="233"/>
      <c r="GN28" s="233"/>
      <c r="GO28" s="233"/>
      <c r="GP28" s="233"/>
      <c r="GQ28" s="233"/>
      <c r="GR28" s="233"/>
      <c r="GS28" s="233"/>
      <c r="GT28" s="233"/>
      <c r="GU28" s="233"/>
      <c r="GV28" s="233"/>
      <c r="GW28" s="233"/>
      <c r="GX28" s="233"/>
      <c r="GY28" s="233"/>
      <c r="GZ28" s="233"/>
      <c r="HA28" s="233"/>
      <c r="HB28" s="233"/>
      <c r="HC28" s="233"/>
      <c r="HD28" s="233"/>
      <c r="HE28" s="233"/>
      <c r="HF28" s="233"/>
      <c r="HG28" s="233"/>
      <c r="HH28" s="233"/>
      <c r="HI28" s="233"/>
      <c r="HJ28" s="233"/>
      <c r="HK28" s="233"/>
      <c r="HL28" s="233"/>
      <c r="HM28" s="233"/>
      <c r="HN28" s="233"/>
      <c r="HO28" s="233"/>
      <c r="HP28" s="233"/>
      <c r="HQ28" s="233"/>
      <c r="HR28" s="233"/>
      <c r="HS28" s="233"/>
      <c r="HT28" s="233"/>
      <c r="HU28" s="233"/>
      <c r="HV28" s="233"/>
      <c r="HW28" s="233"/>
      <c r="HX28" s="233"/>
      <c r="HY28" s="233"/>
      <c r="HZ28" s="233"/>
      <c r="IA28" s="233"/>
      <c r="IB28" s="233"/>
      <c r="IC28" s="233"/>
      <c r="ID28" s="233"/>
      <c r="IE28" s="233"/>
      <c r="IF28" s="233"/>
      <c r="IG28" s="233"/>
      <c r="IH28" s="233"/>
      <c r="II28" s="233"/>
      <c r="IJ28" s="233"/>
      <c r="IK28" s="233"/>
      <c r="IL28" s="233"/>
      <c r="IM28" s="233"/>
      <c r="IN28" s="233"/>
      <c r="IO28" s="233"/>
      <c r="IP28" s="233"/>
      <c r="IQ28" s="233"/>
      <c r="IR28" s="233"/>
      <c r="IS28" s="233"/>
      <c r="IT28" s="233"/>
      <c r="IU28" s="233"/>
      <c r="IV28" s="233"/>
      <c r="IW28" s="233"/>
      <c r="IX28" s="233"/>
      <c r="IY28" s="233"/>
      <c r="IZ28" s="233"/>
      <c r="JA28" s="233"/>
      <c r="JB28" s="233"/>
      <c r="JC28" s="233"/>
      <c r="JD28" s="233"/>
      <c r="JE28" s="233"/>
      <c r="JF28" s="233"/>
      <c r="JG28" s="233"/>
      <c r="JH28" s="233"/>
      <c r="JI28" s="233"/>
      <c r="JJ28" s="233"/>
      <c r="JK28" s="233"/>
      <c r="JL28" s="233"/>
      <c r="JM28" s="233"/>
      <c r="JN28" s="233"/>
      <c r="JO28" s="233"/>
      <c r="JP28" s="233"/>
      <c r="JQ28" s="233"/>
      <c r="JR28" s="233"/>
      <c r="JS28" s="233"/>
      <c r="JT28" s="233"/>
      <c r="JU28" s="233"/>
      <c r="JV28" s="233"/>
      <c r="JW28" s="233"/>
      <c r="JX28" s="233"/>
      <c r="JY28" s="233"/>
      <c r="JZ28" s="233"/>
      <c r="KA28" s="233"/>
      <c r="KB28" s="233"/>
      <c r="KC28" s="233"/>
      <c r="KD28" s="233"/>
      <c r="KE28" s="233"/>
      <c r="KF28" s="233"/>
      <c r="KG28" s="233"/>
      <c r="KH28" s="233"/>
      <c r="KI28" s="233"/>
      <c r="KJ28" s="233"/>
      <c r="KK28" s="233"/>
      <c r="KL28" s="233"/>
      <c r="KM28" s="233"/>
      <c r="KN28" s="233"/>
      <c r="KO28" s="233"/>
      <c r="KP28" s="233"/>
      <c r="KQ28" s="233"/>
      <c r="KR28" s="233"/>
      <c r="KS28" s="233"/>
      <c r="KT28" s="233"/>
      <c r="KU28" s="233"/>
      <c r="KV28" s="233"/>
      <c r="KW28" s="233"/>
      <c r="KX28" s="233"/>
      <c r="KY28" s="233"/>
      <c r="KZ28" s="233"/>
      <c r="LA28" s="233"/>
      <c r="LB28" s="233"/>
      <c r="LC28" s="233"/>
      <c r="LD28" s="233"/>
      <c r="LE28" s="233"/>
      <c r="LF28" s="233"/>
      <c r="LG28" s="233"/>
      <c r="LH28" s="233"/>
      <c r="LI28" s="233"/>
      <c r="LJ28" s="233"/>
      <c r="LK28" s="233"/>
      <c r="LL28" s="233"/>
      <c r="LM28" s="233"/>
      <c r="LN28" s="233"/>
      <c r="LO28" s="233"/>
      <c r="LP28" s="233"/>
      <c r="LQ28" s="233"/>
      <c r="LR28" s="233"/>
      <c r="LS28" s="233"/>
      <c r="LT28" s="233"/>
      <c r="LU28" s="233"/>
      <c r="LV28" s="233"/>
      <c r="LW28" s="233"/>
      <c r="LX28" s="233"/>
      <c r="LY28" s="233"/>
      <c r="LZ28" s="233"/>
      <c r="MA28" s="233"/>
    </row>
    <row r="29" spans="1:339" s="54" customFormat="1" ht="60" hidden="1" customHeight="1" outlineLevel="1" x14ac:dyDescent="0.25">
      <c r="A29" s="50" t="s">
        <v>1304</v>
      </c>
      <c r="B29" s="50" t="s">
        <v>1305</v>
      </c>
      <c r="C29" s="50" t="s">
        <v>2291</v>
      </c>
      <c r="D29" s="50" t="s">
        <v>1355</v>
      </c>
      <c r="E29" s="164" t="s">
        <v>2127</v>
      </c>
      <c r="F29" s="90" t="s">
        <v>243</v>
      </c>
      <c r="G29" s="90"/>
      <c r="H29" s="52"/>
      <c r="I29" s="15"/>
      <c r="J29" s="111" t="str">
        <f>IF(H29&gt;0,(H29*VLOOKUP(Lookups!$K$11,Lookups!$M$10:$P$43,4,0)/VLOOKUP(I29,Lookups!$M$10:$P$43,4,0)),"")</f>
        <v/>
      </c>
      <c r="K29" s="198">
        <f>2.41998875373617*(K3/1000)</f>
        <v>0.60015721092657015</v>
      </c>
      <c r="L29" s="15" t="s">
        <v>1522</v>
      </c>
      <c r="M29" s="111">
        <f>IF(K29&gt;0,(K29*VLOOKUP(Lookups!$K$11,Lookups!$M$10:$P$43,4,0)/VLOOKUP(L29,Lookups!$M$10:$P$43,4,0)),"")</f>
        <v>0.60015721092657015</v>
      </c>
      <c r="N29" s="52"/>
      <c r="O29" s="15"/>
      <c r="P29" s="111" t="str">
        <f>IF(N29&gt;0,(N29*VLOOKUP(Lookups!$K$11,Lookups!$M$10:$P$43,4,0)/VLOOKUP(O29,Lookups!$M$10:$P$43,4,0)),"")</f>
        <v/>
      </c>
      <c r="Q29" s="234" t="s">
        <v>1360</v>
      </c>
      <c r="R29" s="15" t="s">
        <v>154</v>
      </c>
      <c r="S29" s="107" t="s">
        <v>2386</v>
      </c>
      <c r="T29" s="15" t="s">
        <v>923</v>
      </c>
      <c r="U29" s="90" t="s">
        <v>3117</v>
      </c>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c r="CQ29" s="233"/>
      <c r="CR29" s="233"/>
      <c r="CS29" s="233"/>
      <c r="CT29" s="233"/>
      <c r="CU29" s="233"/>
      <c r="CV29" s="233"/>
      <c r="CW29" s="233"/>
      <c r="CX29" s="233"/>
      <c r="CY29" s="233"/>
      <c r="CZ29" s="233"/>
      <c r="DA29" s="233"/>
      <c r="DB29" s="233"/>
      <c r="DC29" s="233"/>
      <c r="DD29" s="233"/>
      <c r="DE29" s="233"/>
      <c r="DF29" s="233"/>
      <c r="DG29" s="233"/>
      <c r="DH29" s="233"/>
      <c r="DI29" s="233"/>
      <c r="DJ29" s="233"/>
      <c r="DK29" s="233"/>
      <c r="DL29" s="233"/>
      <c r="DM29" s="233"/>
      <c r="DN29" s="233"/>
      <c r="DO29" s="233"/>
      <c r="DP29" s="233"/>
      <c r="DQ29" s="233"/>
      <c r="DR29" s="233"/>
      <c r="DS29" s="233"/>
      <c r="DT29" s="233"/>
      <c r="DU29" s="233"/>
      <c r="DV29" s="233"/>
      <c r="DW29" s="233"/>
      <c r="DX29" s="233"/>
      <c r="DY29" s="233"/>
      <c r="DZ29" s="233"/>
      <c r="EA29" s="233"/>
      <c r="EB29" s="233"/>
      <c r="EC29" s="233"/>
      <c r="ED29" s="233"/>
      <c r="EE29" s="233"/>
      <c r="EF29" s="233"/>
      <c r="EG29" s="233"/>
      <c r="EH29" s="233"/>
      <c r="EI29" s="233"/>
      <c r="EJ29" s="233"/>
      <c r="EK29" s="233"/>
      <c r="EL29" s="233"/>
      <c r="EM29" s="233"/>
      <c r="EN29" s="233"/>
      <c r="EO29" s="233"/>
      <c r="EP29" s="233"/>
      <c r="EQ29" s="233"/>
      <c r="ER29" s="233"/>
      <c r="ES29" s="233"/>
      <c r="ET29" s="233"/>
      <c r="EU29" s="233"/>
      <c r="EV29" s="233"/>
      <c r="EW29" s="233"/>
      <c r="EX29" s="233"/>
      <c r="EY29" s="233"/>
      <c r="EZ29" s="233"/>
      <c r="FA29" s="233"/>
      <c r="FB29" s="233"/>
      <c r="FC29" s="233"/>
      <c r="FD29" s="233"/>
      <c r="FE29" s="233"/>
      <c r="FF29" s="233"/>
      <c r="FG29" s="233"/>
      <c r="FH29" s="233"/>
      <c r="FI29" s="233"/>
      <c r="FJ29" s="233"/>
      <c r="FK29" s="233"/>
      <c r="FL29" s="233"/>
      <c r="FM29" s="233"/>
      <c r="FN29" s="233"/>
      <c r="FO29" s="233"/>
      <c r="FP29" s="233"/>
      <c r="FQ29" s="233"/>
      <c r="FR29" s="233"/>
      <c r="FS29" s="233"/>
      <c r="FT29" s="233"/>
      <c r="FU29" s="233"/>
      <c r="FV29" s="233"/>
      <c r="FW29" s="233"/>
      <c r="FX29" s="233"/>
      <c r="FY29" s="233"/>
      <c r="FZ29" s="233"/>
      <c r="GA29" s="233"/>
      <c r="GB29" s="233"/>
      <c r="GC29" s="233"/>
      <c r="GD29" s="233"/>
      <c r="GE29" s="233"/>
      <c r="GF29" s="233"/>
      <c r="GG29" s="233"/>
      <c r="GH29" s="233"/>
      <c r="GI29" s="233"/>
      <c r="GJ29" s="233"/>
      <c r="GK29" s="233"/>
      <c r="GL29" s="233"/>
      <c r="GM29" s="233"/>
      <c r="GN29" s="233"/>
      <c r="GO29" s="233"/>
      <c r="GP29" s="233"/>
      <c r="GQ29" s="233"/>
      <c r="GR29" s="233"/>
      <c r="GS29" s="233"/>
      <c r="GT29" s="233"/>
      <c r="GU29" s="233"/>
      <c r="GV29" s="233"/>
      <c r="GW29" s="233"/>
      <c r="GX29" s="233"/>
      <c r="GY29" s="233"/>
      <c r="GZ29" s="233"/>
      <c r="HA29" s="233"/>
      <c r="HB29" s="233"/>
      <c r="HC29" s="233"/>
      <c r="HD29" s="233"/>
      <c r="HE29" s="233"/>
      <c r="HF29" s="233"/>
      <c r="HG29" s="233"/>
      <c r="HH29" s="233"/>
      <c r="HI29" s="233"/>
      <c r="HJ29" s="233"/>
      <c r="HK29" s="233"/>
      <c r="HL29" s="233"/>
      <c r="HM29" s="233"/>
      <c r="HN29" s="233"/>
      <c r="HO29" s="233"/>
      <c r="HP29" s="233"/>
      <c r="HQ29" s="233"/>
      <c r="HR29" s="233"/>
      <c r="HS29" s="233"/>
      <c r="HT29" s="233"/>
      <c r="HU29" s="233"/>
      <c r="HV29" s="233"/>
      <c r="HW29" s="233"/>
      <c r="HX29" s="233"/>
      <c r="HY29" s="233"/>
      <c r="HZ29" s="233"/>
      <c r="IA29" s="233"/>
      <c r="IB29" s="233"/>
      <c r="IC29" s="233"/>
      <c r="ID29" s="233"/>
      <c r="IE29" s="233"/>
      <c r="IF29" s="233"/>
      <c r="IG29" s="233"/>
      <c r="IH29" s="233"/>
      <c r="II29" s="233"/>
      <c r="IJ29" s="233"/>
      <c r="IK29" s="233"/>
      <c r="IL29" s="233"/>
      <c r="IM29" s="233"/>
      <c r="IN29" s="233"/>
      <c r="IO29" s="233"/>
      <c r="IP29" s="233"/>
      <c r="IQ29" s="233"/>
      <c r="IR29" s="233"/>
      <c r="IS29" s="233"/>
      <c r="IT29" s="233"/>
      <c r="IU29" s="233"/>
      <c r="IV29" s="233"/>
      <c r="IW29" s="233"/>
      <c r="IX29" s="233"/>
      <c r="IY29" s="233"/>
      <c r="IZ29" s="233"/>
      <c r="JA29" s="233"/>
      <c r="JB29" s="233"/>
      <c r="JC29" s="233"/>
      <c r="JD29" s="233"/>
      <c r="JE29" s="233"/>
      <c r="JF29" s="233"/>
      <c r="JG29" s="233"/>
      <c r="JH29" s="233"/>
      <c r="JI29" s="233"/>
      <c r="JJ29" s="233"/>
      <c r="JK29" s="233"/>
      <c r="JL29" s="233"/>
      <c r="JM29" s="233"/>
      <c r="JN29" s="233"/>
      <c r="JO29" s="233"/>
      <c r="JP29" s="233"/>
      <c r="JQ29" s="233"/>
      <c r="JR29" s="233"/>
      <c r="JS29" s="233"/>
      <c r="JT29" s="233"/>
      <c r="JU29" s="233"/>
      <c r="JV29" s="233"/>
      <c r="JW29" s="233"/>
      <c r="JX29" s="233"/>
      <c r="JY29" s="233"/>
      <c r="JZ29" s="233"/>
      <c r="KA29" s="233"/>
      <c r="KB29" s="233"/>
      <c r="KC29" s="233"/>
      <c r="KD29" s="233"/>
      <c r="KE29" s="233"/>
      <c r="KF29" s="233"/>
      <c r="KG29" s="233"/>
      <c r="KH29" s="233"/>
      <c r="KI29" s="233"/>
      <c r="KJ29" s="233"/>
      <c r="KK29" s="233"/>
      <c r="KL29" s="233"/>
      <c r="KM29" s="233"/>
      <c r="KN29" s="233"/>
      <c r="KO29" s="233"/>
      <c r="KP29" s="233"/>
      <c r="KQ29" s="233"/>
      <c r="KR29" s="233"/>
      <c r="KS29" s="233"/>
      <c r="KT29" s="233"/>
      <c r="KU29" s="233"/>
      <c r="KV29" s="233"/>
      <c r="KW29" s="233"/>
      <c r="KX29" s="233"/>
      <c r="KY29" s="233"/>
      <c r="KZ29" s="233"/>
      <c r="LA29" s="233"/>
      <c r="LB29" s="233"/>
      <c r="LC29" s="233"/>
      <c r="LD29" s="233"/>
      <c r="LE29" s="233"/>
      <c r="LF29" s="233"/>
      <c r="LG29" s="233"/>
      <c r="LH29" s="233"/>
      <c r="LI29" s="233"/>
      <c r="LJ29" s="233"/>
      <c r="LK29" s="233"/>
      <c r="LL29" s="233"/>
      <c r="LM29" s="233"/>
      <c r="LN29" s="233"/>
      <c r="LO29" s="233"/>
      <c r="LP29" s="233"/>
      <c r="LQ29" s="233"/>
      <c r="LR29" s="233"/>
      <c r="LS29" s="233"/>
      <c r="LT29" s="233"/>
      <c r="LU29" s="233"/>
      <c r="LV29" s="233"/>
      <c r="LW29" s="233"/>
      <c r="LX29" s="233"/>
      <c r="LY29" s="233"/>
      <c r="LZ29" s="233"/>
      <c r="MA29" s="233"/>
    </row>
    <row r="30" spans="1:339" s="54" customFormat="1" ht="60" customHeight="1" collapsed="1" x14ac:dyDescent="0.25">
      <c r="A30" s="40" t="s">
        <v>1304</v>
      </c>
      <c r="B30" s="40" t="s">
        <v>1381</v>
      </c>
      <c r="C30" s="48" t="s">
        <v>1370</v>
      </c>
      <c r="D30" s="40" t="s">
        <v>2043</v>
      </c>
      <c r="E30" s="164" t="s">
        <v>1371</v>
      </c>
      <c r="F30" s="90" t="s">
        <v>212</v>
      </c>
      <c r="G30" s="90"/>
      <c r="H30" s="52"/>
      <c r="I30" s="15"/>
      <c r="J30" s="111" t="str">
        <f>IF(H30&gt;0,(H30*VLOOKUP(Lookups!$K$11,Lookups!$M$10:$P$43,4,0)/VLOOKUP(I30,Lookups!$M$10:$P$43,4,0)),"")</f>
        <v/>
      </c>
      <c r="K30" s="52"/>
      <c r="L30" s="15"/>
      <c r="M30" s="17" t="str">
        <f>IF(K30&gt;0,(K30*VLOOKUP(Lookups!$K$11,Lookups!$M$10:$P$43,4,0)/VLOOKUP(L30,Lookups!$M$10:$P$43,4,0)),"")</f>
        <v/>
      </c>
      <c r="N30" s="172">
        <v>6385</v>
      </c>
      <c r="O30" s="15" t="s">
        <v>259</v>
      </c>
      <c r="P30" s="17">
        <f>IF(N30&gt;0,(N30*VLOOKUP(Lookups!$K$11,Lookups!$M$10:$P$43,4,0)/VLOOKUP(O30,Lookups!$M$10:$P$43,4,0)),"")</f>
        <v>7261.6384522842955</v>
      </c>
      <c r="Q30" s="234" t="s">
        <v>2405</v>
      </c>
      <c r="R30" s="15" t="s">
        <v>152</v>
      </c>
      <c r="S30" s="174" t="s">
        <v>2128</v>
      </c>
      <c r="T30" s="15" t="s">
        <v>923</v>
      </c>
      <c r="U30" s="90" t="s">
        <v>2372</v>
      </c>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c r="EO30" s="233"/>
      <c r="EP30" s="233"/>
      <c r="EQ30" s="233"/>
      <c r="ER30" s="233"/>
      <c r="ES30" s="233"/>
      <c r="ET30" s="233"/>
      <c r="EU30" s="233"/>
      <c r="EV30" s="233"/>
      <c r="EW30" s="233"/>
      <c r="EX30" s="233"/>
      <c r="EY30" s="233"/>
      <c r="EZ30" s="233"/>
      <c r="FA30" s="233"/>
      <c r="FB30" s="233"/>
      <c r="FC30" s="233"/>
      <c r="FD30" s="233"/>
      <c r="FE30" s="233"/>
      <c r="FF30" s="233"/>
      <c r="FG30" s="233"/>
      <c r="FH30" s="233"/>
      <c r="FI30" s="233"/>
      <c r="FJ30" s="233"/>
      <c r="FK30" s="233"/>
      <c r="FL30" s="233"/>
      <c r="FM30" s="233"/>
      <c r="FN30" s="233"/>
      <c r="FO30" s="233"/>
      <c r="FP30" s="233"/>
      <c r="FQ30" s="233"/>
      <c r="FR30" s="233"/>
      <c r="FS30" s="233"/>
      <c r="FT30" s="233"/>
      <c r="FU30" s="233"/>
      <c r="FV30" s="233"/>
      <c r="FW30" s="233"/>
      <c r="FX30" s="233"/>
      <c r="FY30" s="233"/>
      <c r="FZ30" s="233"/>
      <c r="GA30" s="233"/>
      <c r="GB30" s="233"/>
      <c r="GC30" s="233"/>
      <c r="GD30" s="233"/>
      <c r="GE30" s="233"/>
      <c r="GF30" s="233"/>
      <c r="GG30" s="233"/>
      <c r="GH30" s="233"/>
      <c r="GI30" s="233"/>
      <c r="GJ30" s="233"/>
      <c r="GK30" s="233"/>
      <c r="GL30" s="233"/>
      <c r="GM30" s="233"/>
      <c r="GN30" s="233"/>
      <c r="GO30" s="233"/>
      <c r="GP30" s="233"/>
      <c r="GQ30" s="233"/>
      <c r="GR30" s="233"/>
      <c r="GS30" s="233"/>
      <c r="GT30" s="233"/>
      <c r="GU30" s="233"/>
      <c r="GV30" s="233"/>
      <c r="GW30" s="233"/>
      <c r="GX30" s="233"/>
      <c r="GY30" s="233"/>
      <c r="GZ30" s="233"/>
      <c r="HA30" s="233"/>
      <c r="HB30" s="233"/>
      <c r="HC30" s="233"/>
      <c r="HD30" s="233"/>
      <c r="HE30" s="233"/>
      <c r="HF30" s="233"/>
      <c r="HG30" s="233"/>
      <c r="HH30" s="233"/>
      <c r="HI30" s="233"/>
      <c r="HJ30" s="233"/>
      <c r="HK30" s="233"/>
      <c r="HL30" s="233"/>
      <c r="HM30" s="233"/>
      <c r="HN30" s="233"/>
      <c r="HO30" s="233"/>
      <c r="HP30" s="233"/>
      <c r="HQ30" s="233"/>
      <c r="HR30" s="233"/>
      <c r="HS30" s="233"/>
      <c r="HT30" s="233"/>
      <c r="HU30" s="233"/>
      <c r="HV30" s="233"/>
      <c r="HW30" s="233"/>
      <c r="HX30" s="233"/>
      <c r="HY30" s="233"/>
      <c r="HZ30" s="233"/>
      <c r="IA30" s="233"/>
      <c r="IB30" s="233"/>
      <c r="IC30" s="233"/>
      <c r="ID30" s="233"/>
      <c r="IE30" s="233"/>
      <c r="IF30" s="233"/>
      <c r="IG30" s="233"/>
      <c r="IH30" s="233"/>
      <c r="II30" s="233"/>
      <c r="IJ30" s="233"/>
      <c r="IK30" s="233"/>
      <c r="IL30" s="233"/>
      <c r="IM30" s="233"/>
      <c r="IN30" s="233"/>
      <c r="IO30" s="233"/>
      <c r="IP30" s="233"/>
      <c r="IQ30" s="233"/>
      <c r="IR30" s="233"/>
      <c r="IS30" s="233"/>
      <c r="IT30" s="233"/>
      <c r="IU30" s="233"/>
      <c r="IV30" s="233"/>
      <c r="IW30" s="233"/>
      <c r="IX30" s="233"/>
      <c r="IY30" s="233"/>
      <c r="IZ30" s="233"/>
      <c r="JA30" s="233"/>
      <c r="JB30" s="233"/>
      <c r="JC30" s="233"/>
      <c r="JD30" s="233"/>
      <c r="JE30" s="233"/>
      <c r="JF30" s="233"/>
      <c r="JG30" s="233"/>
      <c r="JH30" s="233"/>
      <c r="JI30" s="233"/>
      <c r="JJ30" s="233"/>
      <c r="JK30" s="233"/>
      <c r="JL30" s="233"/>
      <c r="JM30" s="233"/>
      <c r="JN30" s="233"/>
      <c r="JO30" s="233"/>
      <c r="JP30" s="233"/>
      <c r="JQ30" s="233"/>
      <c r="JR30" s="233"/>
      <c r="JS30" s="233"/>
      <c r="JT30" s="233"/>
      <c r="JU30" s="233"/>
      <c r="JV30" s="233"/>
      <c r="JW30" s="233"/>
      <c r="JX30" s="233"/>
      <c r="JY30" s="233"/>
      <c r="JZ30" s="233"/>
      <c r="KA30" s="233"/>
      <c r="KB30" s="233"/>
      <c r="KC30" s="233"/>
      <c r="KD30" s="233"/>
      <c r="KE30" s="233"/>
      <c r="KF30" s="233"/>
      <c r="KG30" s="233"/>
      <c r="KH30" s="233"/>
      <c r="KI30" s="233"/>
      <c r="KJ30" s="233"/>
      <c r="KK30" s="233"/>
      <c r="KL30" s="233"/>
      <c r="KM30" s="233"/>
      <c r="KN30" s="233"/>
      <c r="KO30" s="233"/>
      <c r="KP30" s="233"/>
      <c r="KQ30" s="233"/>
      <c r="KR30" s="233"/>
      <c r="KS30" s="233"/>
      <c r="KT30" s="233"/>
      <c r="KU30" s="233"/>
      <c r="KV30" s="233"/>
      <c r="KW30" s="233"/>
      <c r="KX30" s="233"/>
      <c r="KY30" s="233"/>
      <c r="KZ30" s="233"/>
      <c r="LA30" s="233"/>
      <c r="LB30" s="233"/>
      <c r="LC30" s="233"/>
      <c r="LD30" s="233"/>
      <c r="LE30" s="233"/>
      <c r="LF30" s="233"/>
      <c r="LG30" s="233"/>
      <c r="LH30" s="233"/>
      <c r="LI30" s="233"/>
      <c r="LJ30" s="233"/>
      <c r="LK30" s="233"/>
      <c r="LL30" s="233"/>
      <c r="LM30" s="233"/>
      <c r="LN30" s="233"/>
      <c r="LO30" s="233"/>
      <c r="LP30" s="233"/>
      <c r="LQ30" s="233"/>
      <c r="LR30" s="233"/>
      <c r="LS30" s="233"/>
      <c r="LT30" s="233"/>
      <c r="LU30" s="233"/>
      <c r="LV30" s="233"/>
      <c r="LW30" s="233"/>
      <c r="LX30" s="233"/>
      <c r="LY30" s="233"/>
      <c r="LZ30" s="233"/>
      <c r="MA30" s="233"/>
    </row>
    <row r="31" spans="1:339" s="54" customFormat="1" ht="60" hidden="1" customHeight="1" outlineLevel="1" x14ac:dyDescent="0.25">
      <c r="A31" s="50" t="s">
        <v>1304</v>
      </c>
      <c r="B31" s="50" t="s">
        <v>1381</v>
      </c>
      <c r="C31" s="50" t="s">
        <v>1373</v>
      </c>
      <c r="D31" s="50" t="s">
        <v>1372</v>
      </c>
      <c r="E31" s="164" t="s">
        <v>1371</v>
      </c>
      <c r="F31" s="90" t="s">
        <v>212</v>
      </c>
      <c r="G31" s="90"/>
      <c r="H31" s="52"/>
      <c r="I31" s="15"/>
      <c r="J31" s="111" t="str">
        <f>IF(H31&gt;0,(H31*VLOOKUP(Lookups!$K$11,Lookups!$M$10:$P$43,4,0)/VLOOKUP(I31,Lookups!$M$10:$P$43,4,0)),"")</f>
        <v/>
      </c>
      <c r="K31" s="52"/>
      <c r="L31" s="15"/>
      <c r="M31" s="17" t="str">
        <f>IF(K31&gt;0,(K31*VLOOKUP(Lookups!$K$11,Lookups!$M$10:$P$43,4,0)/VLOOKUP(L31,Lookups!$M$10:$P$43,4,0)),"")</f>
        <v/>
      </c>
      <c r="N31" s="193">
        <v>12448</v>
      </c>
      <c r="O31" s="15" t="s">
        <v>259</v>
      </c>
      <c r="P31" s="17">
        <f>IF(N31&gt;0,(N31*VLOOKUP(Lookups!$K$11,Lookups!$M$10:$P$43,4,0)/VLOOKUP(O31,Lookups!$M$10:$P$43,4,0)),"")</f>
        <v>14157.067416450258</v>
      </c>
      <c r="Q31" s="234" t="s">
        <v>2405</v>
      </c>
      <c r="R31" s="15" t="s">
        <v>152</v>
      </c>
      <c r="S31" s="174" t="s">
        <v>2388</v>
      </c>
      <c r="T31" s="15" t="s">
        <v>923</v>
      </c>
      <c r="U31" s="90" t="s">
        <v>2372</v>
      </c>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c r="DB31" s="233"/>
      <c r="DC31" s="233"/>
      <c r="DD31" s="233"/>
      <c r="DE31" s="233"/>
      <c r="DF31" s="233"/>
      <c r="DG31" s="233"/>
      <c r="DH31" s="233"/>
      <c r="DI31" s="233"/>
      <c r="DJ31" s="233"/>
      <c r="DK31" s="233"/>
      <c r="DL31" s="233"/>
      <c r="DM31" s="233"/>
      <c r="DN31" s="233"/>
      <c r="DO31" s="233"/>
      <c r="DP31" s="233"/>
      <c r="DQ31" s="233"/>
      <c r="DR31" s="233"/>
      <c r="DS31" s="233"/>
      <c r="DT31" s="233"/>
      <c r="DU31" s="233"/>
      <c r="DV31" s="233"/>
      <c r="DW31" s="233"/>
      <c r="DX31" s="233"/>
      <c r="DY31" s="233"/>
      <c r="DZ31" s="233"/>
      <c r="EA31" s="233"/>
      <c r="EB31" s="233"/>
      <c r="EC31" s="233"/>
      <c r="ED31" s="233"/>
      <c r="EE31" s="233"/>
      <c r="EF31" s="233"/>
      <c r="EG31" s="233"/>
      <c r="EH31" s="233"/>
      <c r="EI31" s="233"/>
      <c r="EJ31" s="233"/>
      <c r="EK31" s="233"/>
      <c r="EL31" s="233"/>
      <c r="EM31" s="233"/>
      <c r="EN31" s="233"/>
      <c r="EO31" s="233"/>
      <c r="EP31" s="233"/>
      <c r="EQ31" s="233"/>
      <c r="ER31" s="233"/>
      <c r="ES31" s="233"/>
      <c r="ET31" s="233"/>
      <c r="EU31" s="233"/>
      <c r="EV31" s="233"/>
      <c r="EW31" s="233"/>
      <c r="EX31" s="233"/>
      <c r="EY31" s="233"/>
      <c r="EZ31" s="233"/>
      <c r="FA31" s="233"/>
      <c r="FB31" s="233"/>
      <c r="FC31" s="233"/>
      <c r="FD31" s="233"/>
      <c r="FE31" s="233"/>
      <c r="FF31" s="233"/>
      <c r="FG31" s="233"/>
      <c r="FH31" s="233"/>
      <c r="FI31" s="233"/>
      <c r="FJ31" s="233"/>
      <c r="FK31" s="233"/>
      <c r="FL31" s="233"/>
      <c r="FM31" s="233"/>
      <c r="FN31" s="233"/>
      <c r="FO31" s="233"/>
      <c r="FP31" s="233"/>
      <c r="FQ31" s="233"/>
      <c r="FR31" s="233"/>
      <c r="FS31" s="233"/>
      <c r="FT31" s="233"/>
      <c r="FU31" s="233"/>
      <c r="FV31" s="233"/>
      <c r="FW31" s="233"/>
      <c r="FX31" s="233"/>
      <c r="FY31" s="233"/>
      <c r="FZ31" s="233"/>
      <c r="GA31" s="233"/>
      <c r="GB31" s="233"/>
      <c r="GC31" s="233"/>
      <c r="GD31" s="233"/>
      <c r="GE31" s="233"/>
      <c r="GF31" s="233"/>
      <c r="GG31" s="233"/>
      <c r="GH31" s="233"/>
      <c r="GI31" s="233"/>
      <c r="GJ31" s="233"/>
      <c r="GK31" s="233"/>
      <c r="GL31" s="233"/>
      <c r="GM31" s="233"/>
      <c r="GN31" s="233"/>
      <c r="GO31" s="233"/>
      <c r="GP31" s="233"/>
      <c r="GQ31" s="233"/>
      <c r="GR31" s="233"/>
      <c r="GS31" s="233"/>
      <c r="GT31" s="233"/>
      <c r="GU31" s="233"/>
      <c r="GV31" s="233"/>
      <c r="GW31" s="233"/>
      <c r="GX31" s="233"/>
      <c r="GY31" s="233"/>
      <c r="GZ31" s="233"/>
      <c r="HA31" s="233"/>
      <c r="HB31" s="233"/>
      <c r="HC31" s="233"/>
      <c r="HD31" s="233"/>
      <c r="HE31" s="233"/>
      <c r="HF31" s="233"/>
      <c r="HG31" s="233"/>
      <c r="HH31" s="233"/>
      <c r="HI31" s="233"/>
      <c r="HJ31" s="233"/>
      <c r="HK31" s="233"/>
      <c r="HL31" s="233"/>
      <c r="HM31" s="233"/>
      <c r="HN31" s="233"/>
      <c r="HO31" s="233"/>
      <c r="HP31" s="233"/>
      <c r="HQ31" s="233"/>
      <c r="HR31" s="233"/>
      <c r="HS31" s="233"/>
      <c r="HT31" s="233"/>
      <c r="HU31" s="233"/>
      <c r="HV31" s="233"/>
      <c r="HW31" s="233"/>
      <c r="HX31" s="233"/>
      <c r="HY31" s="233"/>
      <c r="HZ31" s="233"/>
      <c r="IA31" s="233"/>
      <c r="IB31" s="233"/>
      <c r="IC31" s="233"/>
      <c r="ID31" s="233"/>
      <c r="IE31" s="233"/>
      <c r="IF31" s="233"/>
      <c r="IG31" s="233"/>
      <c r="IH31" s="233"/>
      <c r="II31" s="233"/>
      <c r="IJ31" s="233"/>
      <c r="IK31" s="233"/>
      <c r="IL31" s="233"/>
      <c r="IM31" s="233"/>
      <c r="IN31" s="233"/>
      <c r="IO31" s="233"/>
      <c r="IP31" s="233"/>
      <c r="IQ31" s="233"/>
      <c r="IR31" s="233"/>
      <c r="IS31" s="233"/>
      <c r="IT31" s="233"/>
      <c r="IU31" s="233"/>
      <c r="IV31" s="233"/>
      <c r="IW31" s="233"/>
      <c r="IX31" s="233"/>
      <c r="IY31" s="233"/>
      <c r="IZ31" s="233"/>
      <c r="JA31" s="233"/>
      <c r="JB31" s="233"/>
      <c r="JC31" s="233"/>
      <c r="JD31" s="233"/>
      <c r="JE31" s="233"/>
      <c r="JF31" s="233"/>
      <c r="JG31" s="233"/>
      <c r="JH31" s="233"/>
      <c r="JI31" s="233"/>
      <c r="JJ31" s="233"/>
      <c r="JK31" s="233"/>
      <c r="JL31" s="233"/>
      <c r="JM31" s="233"/>
      <c r="JN31" s="233"/>
      <c r="JO31" s="233"/>
      <c r="JP31" s="233"/>
      <c r="JQ31" s="233"/>
      <c r="JR31" s="233"/>
      <c r="JS31" s="233"/>
      <c r="JT31" s="233"/>
      <c r="JU31" s="233"/>
      <c r="JV31" s="233"/>
      <c r="JW31" s="233"/>
      <c r="JX31" s="233"/>
      <c r="JY31" s="233"/>
      <c r="JZ31" s="233"/>
      <c r="KA31" s="233"/>
      <c r="KB31" s="233"/>
      <c r="KC31" s="233"/>
      <c r="KD31" s="233"/>
      <c r="KE31" s="233"/>
      <c r="KF31" s="233"/>
      <c r="KG31" s="233"/>
      <c r="KH31" s="233"/>
      <c r="KI31" s="233"/>
      <c r="KJ31" s="233"/>
      <c r="KK31" s="233"/>
      <c r="KL31" s="233"/>
      <c r="KM31" s="233"/>
      <c r="KN31" s="233"/>
      <c r="KO31" s="233"/>
      <c r="KP31" s="233"/>
      <c r="KQ31" s="233"/>
      <c r="KR31" s="233"/>
      <c r="KS31" s="233"/>
      <c r="KT31" s="233"/>
      <c r="KU31" s="233"/>
      <c r="KV31" s="233"/>
      <c r="KW31" s="233"/>
      <c r="KX31" s="233"/>
      <c r="KY31" s="233"/>
      <c r="KZ31" s="233"/>
      <c r="LA31" s="233"/>
      <c r="LB31" s="233"/>
      <c r="LC31" s="233"/>
      <c r="LD31" s="233"/>
      <c r="LE31" s="233"/>
      <c r="LF31" s="233"/>
      <c r="LG31" s="233"/>
      <c r="LH31" s="233"/>
      <c r="LI31" s="233"/>
      <c r="LJ31" s="233"/>
      <c r="LK31" s="233"/>
      <c r="LL31" s="233"/>
      <c r="LM31" s="233"/>
      <c r="LN31" s="233"/>
      <c r="LO31" s="233"/>
      <c r="LP31" s="233"/>
      <c r="LQ31" s="233"/>
      <c r="LR31" s="233"/>
      <c r="LS31" s="233"/>
      <c r="LT31" s="233"/>
      <c r="LU31" s="233"/>
      <c r="LV31" s="233"/>
      <c r="LW31" s="233"/>
      <c r="LX31" s="233"/>
      <c r="LY31" s="233"/>
      <c r="LZ31" s="233"/>
      <c r="MA31" s="233"/>
    </row>
    <row r="32" spans="1:339" s="54" customFormat="1" ht="60" hidden="1" customHeight="1" outlineLevel="1" x14ac:dyDescent="0.25">
      <c r="A32" s="50" t="s">
        <v>1304</v>
      </c>
      <c r="B32" s="50" t="s">
        <v>1381</v>
      </c>
      <c r="C32" s="50" t="s">
        <v>1374</v>
      </c>
      <c r="D32" s="50" t="s">
        <v>2044</v>
      </c>
      <c r="E32" s="164" t="s">
        <v>1371</v>
      </c>
      <c r="F32" s="90" t="s">
        <v>212</v>
      </c>
      <c r="G32" s="90"/>
      <c r="H32" s="52"/>
      <c r="I32" s="15"/>
      <c r="J32" s="111" t="str">
        <f>IF(H32&gt;0,(H32*VLOOKUP(Lookups!$K$11,Lookups!$M$10:$P$43,4,0)/VLOOKUP(I32,Lookups!$M$10:$P$43,4,0)),"")</f>
        <v/>
      </c>
      <c r="K32" s="52"/>
      <c r="L32" s="15"/>
      <c r="M32" s="17" t="str">
        <f>IF(K32&gt;0,(K32*VLOOKUP(Lookups!$K$11,Lookups!$M$10:$P$43,4,0)/VLOOKUP(L32,Lookups!$M$10:$P$43,4,0)),"")</f>
        <v/>
      </c>
      <c r="N32" s="193">
        <v>9066</v>
      </c>
      <c r="O32" s="15" t="s">
        <v>259</v>
      </c>
      <c r="P32" s="17">
        <f>IF(N32&gt;0,(N32*VLOOKUP(Lookups!$K$11,Lookups!$M$10:$P$43,4,0)/VLOOKUP(O32,Lookups!$M$10:$P$43,4,0)),"")</f>
        <v>10310.730494660835</v>
      </c>
      <c r="Q32" s="234" t="s">
        <v>2405</v>
      </c>
      <c r="R32" s="15" t="s">
        <v>152</v>
      </c>
      <c r="S32" s="174" t="s">
        <v>2389</v>
      </c>
      <c r="T32" s="15" t="s">
        <v>923</v>
      </c>
      <c r="U32" s="90" t="s">
        <v>2372</v>
      </c>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c r="DT32" s="233"/>
      <c r="DU32" s="233"/>
      <c r="DV32" s="233"/>
      <c r="DW32" s="233"/>
      <c r="DX32" s="233"/>
      <c r="DY32" s="233"/>
      <c r="DZ32" s="233"/>
      <c r="EA32" s="233"/>
      <c r="EB32" s="233"/>
      <c r="EC32" s="233"/>
      <c r="ED32" s="233"/>
      <c r="EE32" s="233"/>
      <c r="EF32" s="233"/>
      <c r="EG32" s="233"/>
      <c r="EH32" s="233"/>
      <c r="EI32" s="233"/>
      <c r="EJ32" s="233"/>
      <c r="EK32" s="233"/>
      <c r="EL32" s="233"/>
      <c r="EM32" s="233"/>
      <c r="EN32" s="233"/>
      <c r="EO32" s="233"/>
      <c r="EP32" s="233"/>
      <c r="EQ32" s="233"/>
      <c r="ER32" s="233"/>
      <c r="ES32" s="233"/>
      <c r="ET32" s="233"/>
      <c r="EU32" s="233"/>
      <c r="EV32" s="233"/>
      <c r="EW32" s="233"/>
      <c r="EX32" s="233"/>
      <c r="EY32" s="233"/>
      <c r="EZ32" s="233"/>
      <c r="FA32" s="233"/>
      <c r="FB32" s="233"/>
      <c r="FC32" s="233"/>
      <c r="FD32" s="233"/>
      <c r="FE32" s="233"/>
      <c r="FF32" s="233"/>
      <c r="FG32" s="233"/>
      <c r="FH32" s="233"/>
      <c r="FI32" s="233"/>
      <c r="FJ32" s="233"/>
      <c r="FK32" s="233"/>
      <c r="FL32" s="233"/>
      <c r="FM32" s="233"/>
      <c r="FN32" s="233"/>
      <c r="FO32" s="233"/>
      <c r="FP32" s="233"/>
      <c r="FQ32" s="233"/>
      <c r="FR32" s="233"/>
      <c r="FS32" s="233"/>
      <c r="FT32" s="233"/>
      <c r="FU32" s="233"/>
      <c r="FV32" s="233"/>
      <c r="FW32" s="233"/>
      <c r="FX32" s="233"/>
      <c r="FY32" s="233"/>
      <c r="FZ32" s="233"/>
      <c r="GA32" s="233"/>
      <c r="GB32" s="233"/>
      <c r="GC32" s="233"/>
      <c r="GD32" s="233"/>
      <c r="GE32" s="233"/>
      <c r="GF32" s="233"/>
      <c r="GG32" s="233"/>
      <c r="GH32" s="233"/>
      <c r="GI32" s="233"/>
      <c r="GJ32" s="233"/>
      <c r="GK32" s="233"/>
      <c r="GL32" s="233"/>
      <c r="GM32" s="233"/>
      <c r="GN32" s="233"/>
      <c r="GO32" s="233"/>
      <c r="GP32" s="233"/>
      <c r="GQ32" s="233"/>
      <c r="GR32" s="233"/>
      <c r="GS32" s="233"/>
      <c r="GT32" s="233"/>
      <c r="GU32" s="233"/>
      <c r="GV32" s="233"/>
      <c r="GW32" s="233"/>
      <c r="GX32" s="233"/>
      <c r="GY32" s="233"/>
      <c r="GZ32" s="233"/>
      <c r="HA32" s="233"/>
      <c r="HB32" s="233"/>
      <c r="HC32" s="233"/>
      <c r="HD32" s="233"/>
      <c r="HE32" s="233"/>
      <c r="HF32" s="233"/>
      <c r="HG32" s="233"/>
      <c r="HH32" s="233"/>
      <c r="HI32" s="233"/>
      <c r="HJ32" s="233"/>
      <c r="HK32" s="233"/>
      <c r="HL32" s="233"/>
      <c r="HM32" s="233"/>
      <c r="HN32" s="233"/>
      <c r="HO32" s="233"/>
      <c r="HP32" s="233"/>
      <c r="HQ32" s="233"/>
      <c r="HR32" s="233"/>
      <c r="HS32" s="233"/>
      <c r="HT32" s="233"/>
      <c r="HU32" s="233"/>
      <c r="HV32" s="233"/>
      <c r="HW32" s="233"/>
      <c r="HX32" s="233"/>
      <c r="HY32" s="233"/>
      <c r="HZ32" s="233"/>
      <c r="IA32" s="233"/>
      <c r="IB32" s="233"/>
      <c r="IC32" s="233"/>
      <c r="ID32" s="233"/>
      <c r="IE32" s="233"/>
      <c r="IF32" s="233"/>
      <c r="IG32" s="233"/>
      <c r="IH32" s="233"/>
      <c r="II32" s="233"/>
      <c r="IJ32" s="233"/>
      <c r="IK32" s="233"/>
      <c r="IL32" s="233"/>
      <c r="IM32" s="233"/>
      <c r="IN32" s="233"/>
      <c r="IO32" s="233"/>
      <c r="IP32" s="233"/>
      <c r="IQ32" s="233"/>
      <c r="IR32" s="233"/>
      <c r="IS32" s="233"/>
      <c r="IT32" s="233"/>
      <c r="IU32" s="233"/>
      <c r="IV32" s="233"/>
      <c r="IW32" s="233"/>
      <c r="IX32" s="233"/>
      <c r="IY32" s="233"/>
      <c r="IZ32" s="233"/>
      <c r="JA32" s="233"/>
      <c r="JB32" s="233"/>
      <c r="JC32" s="233"/>
      <c r="JD32" s="233"/>
      <c r="JE32" s="233"/>
      <c r="JF32" s="233"/>
      <c r="JG32" s="233"/>
      <c r="JH32" s="233"/>
      <c r="JI32" s="233"/>
      <c r="JJ32" s="233"/>
      <c r="JK32" s="233"/>
      <c r="JL32" s="233"/>
      <c r="JM32" s="233"/>
      <c r="JN32" s="233"/>
      <c r="JO32" s="233"/>
      <c r="JP32" s="233"/>
      <c r="JQ32" s="233"/>
      <c r="JR32" s="233"/>
      <c r="JS32" s="233"/>
      <c r="JT32" s="233"/>
      <c r="JU32" s="233"/>
      <c r="JV32" s="233"/>
      <c r="JW32" s="233"/>
      <c r="JX32" s="233"/>
      <c r="JY32" s="233"/>
      <c r="JZ32" s="233"/>
      <c r="KA32" s="233"/>
      <c r="KB32" s="233"/>
      <c r="KC32" s="233"/>
      <c r="KD32" s="233"/>
      <c r="KE32" s="233"/>
      <c r="KF32" s="233"/>
      <c r="KG32" s="233"/>
      <c r="KH32" s="233"/>
      <c r="KI32" s="233"/>
      <c r="KJ32" s="233"/>
      <c r="KK32" s="233"/>
      <c r="KL32" s="233"/>
      <c r="KM32" s="233"/>
      <c r="KN32" s="233"/>
      <c r="KO32" s="233"/>
      <c r="KP32" s="233"/>
      <c r="KQ32" s="233"/>
      <c r="KR32" s="233"/>
      <c r="KS32" s="233"/>
      <c r="KT32" s="233"/>
      <c r="KU32" s="233"/>
      <c r="KV32" s="233"/>
      <c r="KW32" s="233"/>
      <c r="KX32" s="233"/>
      <c r="KY32" s="233"/>
      <c r="KZ32" s="233"/>
      <c r="LA32" s="233"/>
      <c r="LB32" s="233"/>
      <c r="LC32" s="233"/>
      <c r="LD32" s="233"/>
      <c r="LE32" s="233"/>
      <c r="LF32" s="233"/>
      <c r="LG32" s="233"/>
      <c r="LH32" s="233"/>
      <c r="LI32" s="233"/>
      <c r="LJ32" s="233"/>
      <c r="LK32" s="233"/>
      <c r="LL32" s="233"/>
      <c r="LM32" s="233"/>
      <c r="LN32" s="233"/>
      <c r="LO32" s="233"/>
      <c r="LP32" s="233"/>
      <c r="LQ32" s="233"/>
      <c r="LR32" s="233"/>
      <c r="LS32" s="233"/>
      <c r="LT32" s="233"/>
      <c r="LU32" s="233"/>
      <c r="LV32" s="233"/>
      <c r="LW32" s="233"/>
      <c r="LX32" s="233"/>
      <c r="LY32" s="233"/>
      <c r="LZ32" s="233"/>
      <c r="MA32" s="233"/>
    </row>
    <row r="33" spans="1:339" s="54" customFormat="1" ht="60" customHeight="1" collapsed="1" x14ac:dyDescent="0.25">
      <c r="A33" s="40" t="s">
        <v>1304</v>
      </c>
      <c r="B33" s="40" t="s">
        <v>1381</v>
      </c>
      <c r="C33" s="48" t="s">
        <v>1375</v>
      </c>
      <c r="D33" s="40" t="s">
        <v>2046</v>
      </c>
      <c r="E33" s="164" t="s">
        <v>1371</v>
      </c>
      <c r="F33" s="90" t="s">
        <v>212</v>
      </c>
      <c r="G33" s="90"/>
      <c r="H33" s="52"/>
      <c r="I33" s="15"/>
      <c r="J33" s="111" t="str">
        <f>IF(H33&gt;0,(H33*VLOOKUP(Lookups!$K$11,Lookups!$M$10:$P$43,4,0)/VLOOKUP(I33,Lookups!$M$10:$P$43,4,0)),"")</f>
        <v/>
      </c>
      <c r="K33" s="52"/>
      <c r="L33" s="15"/>
      <c r="M33" s="17" t="str">
        <f>IF(K33&gt;0,(K33*VLOOKUP(Lookups!$K$11,Lookups!$M$10:$P$43,4,0)/VLOOKUP(L33,Lookups!$M$10:$P$43,4,0)),"")</f>
        <v/>
      </c>
      <c r="N33" s="193">
        <v>73403</v>
      </c>
      <c r="O33" s="15" t="s">
        <v>259</v>
      </c>
      <c r="P33" s="17">
        <f>IF(N33&gt;0,(N33*VLOOKUP(Lookups!$K$11,Lookups!$M$10:$P$43,4,0)/VLOOKUP(O33,Lookups!$M$10:$P$43,4,0)),"")</f>
        <v>83480.978435869096</v>
      </c>
      <c r="Q33" s="234" t="s">
        <v>2405</v>
      </c>
      <c r="R33" s="15" t="s">
        <v>152</v>
      </c>
      <c r="S33" s="174" t="s">
        <v>2390</v>
      </c>
      <c r="T33" s="15" t="s">
        <v>923</v>
      </c>
      <c r="U33" s="90" t="s">
        <v>2372</v>
      </c>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3"/>
      <c r="FV33" s="233"/>
      <c r="FW33" s="233"/>
      <c r="FX33" s="233"/>
      <c r="FY33" s="233"/>
      <c r="FZ33" s="233"/>
      <c r="GA33" s="233"/>
      <c r="GB33" s="233"/>
      <c r="GC33" s="233"/>
      <c r="GD33" s="233"/>
      <c r="GE33" s="233"/>
      <c r="GF33" s="233"/>
      <c r="GG33" s="233"/>
      <c r="GH33" s="233"/>
      <c r="GI33" s="233"/>
      <c r="GJ33" s="233"/>
      <c r="GK33" s="233"/>
      <c r="GL33" s="233"/>
      <c r="GM33" s="233"/>
      <c r="GN33" s="233"/>
      <c r="GO33" s="233"/>
      <c r="GP33" s="233"/>
      <c r="GQ33" s="233"/>
      <c r="GR33" s="233"/>
      <c r="GS33" s="233"/>
      <c r="GT33" s="233"/>
      <c r="GU33" s="233"/>
      <c r="GV33" s="233"/>
      <c r="GW33" s="233"/>
      <c r="GX33" s="233"/>
      <c r="GY33" s="233"/>
      <c r="GZ33" s="233"/>
      <c r="HA33" s="233"/>
      <c r="HB33" s="233"/>
      <c r="HC33" s="233"/>
      <c r="HD33" s="233"/>
      <c r="HE33" s="233"/>
      <c r="HF33" s="233"/>
      <c r="HG33" s="233"/>
      <c r="HH33" s="233"/>
      <c r="HI33" s="233"/>
      <c r="HJ33" s="233"/>
      <c r="HK33" s="233"/>
      <c r="HL33" s="233"/>
      <c r="HM33" s="233"/>
      <c r="HN33" s="233"/>
      <c r="HO33" s="233"/>
      <c r="HP33" s="233"/>
      <c r="HQ33" s="233"/>
      <c r="HR33" s="233"/>
      <c r="HS33" s="233"/>
      <c r="HT33" s="233"/>
      <c r="HU33" s="233"/>
      <c r="HV33" s="233"/>
      <c r="HW33" s="233"/>
      <c r="HX33" s="233"/>
      <c r="HY33" s="233"/>
      <c r="HZ33" s="233"/>
      <c r="IA33" s="233"/>
      <c r="IB33" s="233"/>
      <c r="IC33" s="233"/>
      <c r="ID33" s="233"/>
      <c r="IE33" s="233"/>
      <c r="IF33" s="233"/>
      <c r="IG33" s="233"/>
      <c r="IH33" s="233"/>
      <c r="II33" s="233"/>
      <c r="IJ33" s="233"/>
      <c r="IK33" s="233"/>
      <c r="IL33" s="233"/>
      <c r="IM33" s="233"/>
      <c r="IN33" s="233"/>
      <c r="IO33" s="233"/>
      <c r="IP33" s="233"/>
      <c r="IQ33" s="233"/>
      <c r="IR33" s="233"/>
      <c r="IS33" s="233"/>
      <c r="IT33" s="233"/>
      <c r="IU33" s="233"/>
      <c r="IV33" s="233"/>
      <c r="IW33" s="233"/>
      <c r="IX33" s="233"/>
      <c r="IY33" s="233"/>
      <c r="IZ33" s="233"/>
      <c r="JA33" s="233"/>
      <c r="JB33" s="233"/>
      <c r="JC33" s="233"/>
      <c r="JD33" s="233"/>
      <c r="JE33" s="233"/>
      <c r="JF33" s="233"/>
      <c r="JG33" s="233"/>
      <c r="JH33" s="233"/>
      <c r="JI33" s="233"/>
      <c r="JJ33" s="233"/>
      <c r="JK33" s="233"/>
      <c r="JL33" s="233"/>
      <c r="JM33" s="233"/>
      <c r="JN33" s="233"/>
      <c r="JO33" s="233"/>
      <c r="JP33" s="233"/>
      <c r="JQ33" s="233"/>
      <c r="JR33" s="233"/>
      <c r="JS33" s="233"/>
      <c r="JT33" s="233"/>
      <c r="JU33" s="233"/>
      <c r="JV33" s="233"/>
      <c r="JW33" s="233"/>
      <c r="JX33" s="233"/>
      <c r="JY33" s="233"/>
      <c r="JZ33" s="233"/>
      <c r="KA33" s="233"/>
      <c r="KB33" s="233"/>
      <c r="KC33" s="233"/>
      <c r="KD33" s="233"/>
      <c r="KE33" s="233"/>
      <c r="KF33" s="233"/>
      <c r="KG33" s="233"/>
      <c r="KH33" s="233"/>
      <c r="KI33" s="233"/>
      <c r="KJ33" s="233"/>
      <c r="KK33" s="233"/>
      <c r="KL33" s="233"/>
      <c r="KM33" s="233"/>
      <c r="KN33" s="233"/>
      <c r="KO33" s="233"/>
      <c r="KP33" s="233"/>
      <c r="KQ33" s="233"/>
      <c r="KR33" s="233"/>
      <c r="KS33" s="233"/>
      <c r="KT33" s="233"/>
      <c r="KU33" s="233"/>
      <c r="KV33" s="233"/>
      <c r="KW33" s="233"/>
      <c r="KX33" s="233"/>
      <c r="KY33" s="233"/>
      <c r="KZ33" s="233"/>
      <c r="LA33" s="233"/>
      <c r="LB33" s="233"/>
      <c r="LC33" s="233"/>
      <c r="LD33" s="233"/>
      <c r="LE33" s="233"/>
      <c r="LF33" s="233"/>
      <c r="LG33" s="233"/>
      <c r="LH33" s="233"/>
      <c r="LI33" s="233"/>
      <c r="LJ33" s="233"/>
      <c r="LK33" s="233"/>
      <c r="LL33" s="233"/>
      <c r="LM33" s="233"/>
      <c r="LN33" s="233"/>
      <c r="LO33" s="233"/>
      <c r="LP33" s="233"/>
      <c r="LQ33" s="233"/>
      <c r="LR33" s="233"/>
      <c r="LS33" s="233"/>
      <c r="LT33" s="233"/>
      <c r="LU33" s="233"/>
      <c r="LV33" s="233"/>
      <c r="LW33" s="233"/>
      <c r="LX33" s="233"/>
      <c r="LY33" s="233"/>
      <c r="LZ33" s="233"/>
      <c r="MA33" s="233"/>
    </row>
    <row r="34" spans="1:339" s="54" customFormat="1" ht="60" hidden="1" customHeight="1" outlineLevel="1" x14ac:dyDescent="0.25">
      <c r="A34" s="50" t="s">
        <v>1304</v>
      </c>
      <c r="B34" s="50" t="s">
        <v>1381</v>
      </c>
      <c r="C34" s="50" t="s">
        <v>1376</v>
      </c>
      <c r="D34" s="50" t="s">
        <v>2045</v>
      </c>
      <c r="E34" s="164" t="s">
        <v>1371</v>
      </c>
      <c r="F34" s="90" t="s">
        <v>212</v>
      </c>
      <c r="G34" s="90"/>
      <c r="H34" s="52"/>
      <c r="I34" s="15"/>
      <c r="J34" s="111" t="str">
        <f>IF(H34&gt;0,(H34*VLOOKUP(Lookups!$K$11,Lookups!$M$10:$P$43,4,0)/VLOOKUP(I34,Lookups!$M$10:$P$43,4,0)),"")</f>
        <v/>
      </c>
      <c r="K34" s="52"/>
      <c r="L34" s="15"/>
      <c r="M34" s="17" t="str">
        <f>IF(K34&gt;0,(K34*VLOOKUP(Lookups!$K$11,Lookups!$M$10:$P$43,4,0)/VLOOKUP(L34,Lookups!$M$10:$P$43,4,0)),"")</f>
        <v/>
      </c>
      <c r="N34" s="193">
        <v>89456</v>
      </c>
      <c r="O34" s="15" t="s">
        <v>259</v>
      </c>
      <c r="P34" s="17">
        <f>IF(N34&gt;0,(N34*VLOOKUP(Lookups!$K$11,Lookups!$M$10:$P$43,4,0)/VLOOKUP(O34,Lookups!$M$10:$P$43,4,0)),"")</f>
        <v>101737.99990407893</v>
      </c>
      <c r="Q34" s="234" t="s">
        <v>2405</v>
      </c>
      <c r="R34" s="15" t="s">
        <v>152</v>
      </c>
      <c r="S34" s="174" t="s">
        <v>2129</v>
      </c>
      <c r="T34" s="15" t="s">
        <v>923</v>
      </c>
      <c r="U34" s="90" t="s">
        <v>2372</v>
      </c>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c r="GE34" s="233"/>
      <c r="GF34" s="233"/>
      <c r="GG34" s="233"/>
      <c r="GH34" s="233"/>
      <c r="GI34" s="233"/>
      <c r="GJ34" s="233"/>
      <c r="GK34" s="233"/>
      <c r="GL34" s="233"/>
      <c r="GM34" s="233"/>
      <c r="GN34" s="233"/>
      <c r="GO34" s="233"/>
      <c r="GP34" s="233"/>
      <c r="GQ34" s="233"/>
      <c r="GR34" s="233"/>
      <c r="GS34" s="233"/>
      <c r="GT34" s="233"/>
      <c r="GU34" s="233"/>
      <c r="GV34" s="233"/>
      <c r="GW34" s="233"/>
      <c r="GX34" s="233"/>
      <c r="GY34" s="233"/>
      <c r="GZ34" s="233"/>
      <c r="HA34" s="233"/>
      <c r="HB34" s="233"/>
      <c r="HC34" s="233"/>
      <c r="HD34" s="233"/>
      <c r="HE34" s="233"/>
      <c r="HF34" s="233"/>
      <c r="HG34" s="233"/>
      <c r="HH34" s="233"/>
      <c r="HI34" s="233"/>
      <c r="HJ34" s="233"/>
      <c r="HK34" s="233"/>
      <c r="HL34" s="233"/>
      <c r="HM34" s="233"/>
      <c r="HN34" s="233"/>
      <c r="HO34" s="233"/>
      <c r="HP34" s="233"/>
      <c r="HQ34" s="233"/>
      <c r="HR34" s="233"/>
      <c r="HS34" s="233"/>
      <c r="HT34" s="233"/>
      <c r="HU34" s="233"/>
      <c r="HV34" s="233"/>
      <c r="HW34" s="233"/>
      <c r="HX34" s="233"/>
      <c r="HY34" s="233"/>
      <c r="HZ34" s="233"/>
      <c r="IA34" s="233"/>
      <c r="IB34" s="233"/>
      <c r="IC34" s="233"/>
      <c r="ID34" s="233"/>
      <c r="IE34" s="233"/>
      <c r="IF34" s="233"/>
      <c r="IG34" s="233"/>
      <c r="IH34" s="233"/>
      <c r="II34" s="233"/>
      <c r="IJ34" s="233"/>
      <c r="IK34" s="233"/>
      <c r="IL34" s="233"/>
      <c r="IM34" s="233"/>
      <c r="IN34" s="233"/>
      <c r="IO34" s="233"/>
      <c r="IP34" s="233"/>
      <c r="IQ34" s="233"/>
      <c r="IR34" s="233"/>
      <c r="IS34" s="233"/>
      <c r="IT34" s="233"/>
      <c r="IU34" s="233"/>
      <c r="IV34" s="233"/>
      <c r="IW34" s="233"/>
      <c r="IX34" s="233"/>
      <c r="IY34" s="233"/>
      <c r="IZ34" s="233"/>
      <c r="JA34" s="233"/>
      <c r="JB34" s="233"/>
      <c r="JC34" s="233"/>
      <c r="JD34" s="233"/>
      <c r="JE34" s="233"/>
      <c r="JF34" s="233"/>
      <c r="JG34" s="233"/>
      <c r="JH34" s="233"/>
      <c r="JI34" s="233"/>
      <c r="JJ34" s="233"/>
      <c r="JK34" s="233"/>
      <c r="JL34" s="233"/>
      <c r="JM34" s="233"/>
      <c r="JN34" s="233"/>
      <c r="JO34" s="233"/>
      <c r="JP34" s="233"/>
      <c r="JQ34" s="233"/>
      <c r="JR34" s="233"/>
      <c r="JS34" s="233"/>
      <c r="JT34" s="233"/>
      <c r="JU34" s="233"/>
      <c r="JV34" s="233"/>
      <c r="JW34" s="233"/>
      <c r="JX34" s="233"/>
      <c r="JY34" s="233"/>
      <c r="JZ34" s="233"/>
      <c r="KA34" s="233"/>
      <c r="KB34" s="233"/>
      <c r="KC34" s="233"/>
      <c r="KD34" s="233"/>
      <c r="KE34" s="233"/>
      <c r="KF34" s="233"/>
      <c r="KG34" s="233"/>
      <c r="KH34" s="233"/>
      <c r="KI34" s="233"/>
      <c r="KJ34" s="233"/>
      <c r="KK34" s="233"/>
      <c r="KL34" s="233"/>
      <c r="KM34" s="233"/>
      <c r="KN34" s="233"/>
      <c r="KO34" s="233"/>
      <c r="KP34" s="233"/>
      <c r="KQ34" s="233"/>
      <c r="KR34" s="233"/>
      <c r="KS34" s="233"/>
      <c r="KT34" s="233"/>
      <c r="KU34" s="233"/>
      <c r="KV34" s="233"/>
      <c r="KW34" s="233"/>
      <c r="KX34" s="233"/>
      <c r="KY34" s="233"/>
      <c r="KZ34" s="233"/>
      <c r="LA34" s="233"/>
      <c r="LB34" s="233"/>
      <c r="LC34" s="233"/>
      <c r="LD34" s="233"/>
      <c r="LE34" s="233"/>
      <c r="LF34" s="233"/>
      <c r="LG34" s="233"/>
      <c r="LH34" s="233"/>
      <c r="LI34" s="233"/>
      <c r="LJ34" s="233"/>
      <c r="LK34" s="233"/>
      <c r="LL34" s="233"/>
      <c r="LM34" s="233"/>
      <c r="LN34" s="233"/>
      <c r="LO34" s="233"/>
      <c r="LP34" s="233"/>
      <c r="LQ34" s="233"/>
      <c r="LR34" s="233"/>
      <c r="LS34" s="233"/>
      <c r="LT34" s="233"/>
      <c r="LU34" s="233"/>
      <c r="LV34" s="233"/>
      <c r="LW34" s="233"/>
      <c r="LX34" s="233"/>
      <c r="LY34" s="233"/>
      <c r="LZ34" s="233"/>
      <c r="MA34" s="233"/>
    </row>
    <row r="35" spans="1:339" s="54" customFormat="1" ht="60" hidden="1" customHeight="1" outlineLevel="1" x14ac:dyDescent="0.25">
      <c r="A35" s="50" t="s">
        <v>1304</v>
      </c>
      <c r="B35" s="50" t="s">
        <v>1381</v>
      </c>
      <c r="C35" s="50" t="s">
        <v>1377</v>
      </c>
      <c r="D35" s="50" t="s">
        <v>2047</v>
      </c>
      <c r="E35" s="164" t="s">
        <v>1371</v>
      </c>
      <c r="F35" s="90" t="s">
        <v>212</v>
      </c>
      <c r="G35" s="90"/>
      <c r="H35" s="52"/>
      <c r="I35" s="15"/>
      <c r="J35" s="111" t="str">
        <f>IF(H35&gt;0,(H35*VLOOKUP(Lookups!$K$11,Lookups!$M$10:$P$43,4,0)/VLOOKUP(I35,Lookups!$M$10:$P$43,4,0)),"")</f>
        <v/>
      </c>
      <c r="K35" s="52"/>
      <c r="L35" s="15"/>
      <c r="M35" s="17" t="str">
        <f>IF(K35&gt;0,(K35*VLOOKUP(Lookups!$K$11,Lookups!$M$10:$P$43,4,0)/VLOOKUP(L35,Lookups!$M$10:$P$43,4,0)),"")</f>
        <v/>
      </c>
      <c r="N35" s="193">
        <v>81518</v>
      </c>
      <c r="O35" s="15" t="s">
        <v>259</v>
      </c>
      <c r="P35" s="17">
        <f>IF(N35&gt;0,(N35*VLOOKUP(Lookups!$K$11,Lookups!$M$10:$P$43,4,0)/VLOOKUP(O35,Lookups!$M$10:$P$43,4,0)),"")</f>
        <v>92710.139914379193</v>
      </c>
      <c r="Q35" s="234" t="s">
        <v>2405</v>
      </c>
      <c r="R35" s="15" t="s">
        <v>152</v>
      </c>
      <c r="S35" s="174" t="s">
        <v>2391</v>
      </c>
      <c r="T35" s="15" t="s">
        <v>923</v>
      </c>
      <c r="U35" s="90" t="s">
        <v>2372</v>
      </c>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c r="GF35" s="233"/>
      <c r="GG35" s="233"/>
      <c r="GH35" s="233"/>
      <c r="GI35" s="233"/>
      <c r="GJ35" s="233"/>
      <c r="GK35" s="233"/>
      <c r="GL35" s="233"/>
      <c r="GM35" s="233"/>
      <c r="GN35" s="233"/>
      <c r="GO35" s="233"/>
      <c r="GP35" s="233"/>
      <c r="GQ35" s="233"/>
      <c r="GR35" s="233"/>
      <c r="GS35" s="233"/>
      <c r="GT35" s="233"/>
      <c r="GU35" s="233"/>
      <c r="GV35" s="233"/>
      <c r="GW35" s="233"/>
      <c r="GX35" s="233"/>
      <c r="GY35" s="233"/>
      <c r="GZ35" s="233"/>
      <c r="HA35" s="233"/>
      <c r="HB35" s="233"/>
      <c r="HC35" s="233"/>
      <c r="HD35" s="233"/>
      <c r="HE35" s="233"/>
      <c r="HF35" s="233"/>
      <c r="HG35" s="233"/>
      <c r="HH35" s="233"/>
      <c r="HI35" s="233"/>
      <c r="HJ35" s="233"/>
      <c r="HK35" s="233"/>
      <c r="HL35" s="233"/>
      <c r="HM35" s="233"/>
      <c r="HN35" s="233"/>
      <c r="HO35" s="233"/>
      <c r="HP35" s="233"/>
      <c r="HQ35" s="233"/>
      <c r="HR35" s="233"/>
      <c r="HS35" s="233"/>
      <c r="HT35" s="233"/>
      <c r="HU35" s="233"/>
      <c r="HV35" s="233"/>
      <c r="HW35" s="233"/>
      <c r="HX35" s="233"/>
      <c r="HY35" s="233"/>
      <c r="HZ35" s="233"/>
      <c r="IA35" s="233"/>
      <c r="IB35" s="233"/>
      <c r="IC35" s="233"/>
      <c r="ID35" s="233"/>
      <c r="IE35" s="233"/>
      <c r="IF35" s="233"/>
      <c r="IG35" s="233"/>
      <c r="IH35" s="233"/>
      <c r="II35" s="233"/>
      <c r="IJ35" s="233"/>
      <c r="IK35" s="233"/>
      <c r="IL35" s="233"/>
      <c r="IM35" s="233"/>
      <c r="IN35" s="233"/>
      <c r="IO35" s="233"/>
      <c r="IP35" s="233"/>
      <c r="IQ35" s="233"/>
      <c r="IR35" s="233"/>
      <c r="IS35" s="233"/>
      <c r="IT35" s="233"/>
      <c r="IU35" s="233"/>
      <c r="IV35" s="233"/>
      <c r="IW35" s="233"/>
      <c r="IX35" s="233"/>
      <c r="IY35" s="233"/>
      <c r="IZ35" s="233"/>
      <c r="JA35" s="233"/>
      <c r="JB35" s="233"/>
      <c r="JC35" s="233"/>
      <c r="JD35" s="233"/>
      <c r="JE35" s="233"/>
      <c r="JF35" s="233"/>
      <c r="JG35" s="233"/>
      <c r="JH35" s="233"/>
      <c r="JI35" s="233"/>
      <c r="JJ35" s="233"/>
      <c r="JK35" s="233"/>
      <c r="JL35" s="233"/>
      <c r="JM35" s="233"/>
      <c r="JN35" s="233"/>
      <c r="JO35" s="233"/>
      <c r="JP35" s="233"/>
      <c r="JQ35" s="233"/>
      <c r="JR35" s="233"/>
      <c r="JS35" s="233"/>
      <c r="JT35" s="233"/>
      <c r="JU35" s="233"/>
      <c r="JV35" s="233"/>
      <c r="JW35" s="233"/>
      <c r="JX35" s="233"/>
      <c r="JY35" s="233"/>
      <c r="JZ35" s="233"/>
      <c r="KA35" s="233"/>
      <c r="KB35" s="233"/>
      <c r="KC35" s="233"/>
      <c r="KD35" s="233"/>
      <c r="KE35" s="233"/>
      <c r="KF35" s="233"/>
      <c r="KG35" s="233"/>
      <c r="KH35" s="233"/>
      <c r="KI35" s="233"/>
      <c r="KJ35" s="233"/>
      <c r="KK35" s="233"/>
      <c r="KL35" s="233"/>
      <c r="KM35" s="233"/>
      <c r="KN35" s="233"/>
      <c r="KO35" s="233"/>
      <c r="KP35" s="233"/>
      <c r="KQ35" s="233"/>
      <c r="KR35" s="233"/>
      <c r="KS35" s="233"/>
      <c r="KT35" s="233"/>
      <c r="KU35" s="233"/>
      <c r="KV35" s="233"/>
      <c r="KW35" s="233"/>
      <c r="KX35" s="233"/>
      <c r="KY35" s="233"/>
      <c r="KZ35" s="233"/>
      <c r="LA35" s="233"/>
      <c r="LB35" s="233"/>
      <c r="LC35" s="233"/>
      <c r="LD35" s="233"/>
      <c r="LE35" s="233"/>
      <c r="LF35" s="233"/>
      <c r="LG35" s="233"/>
      <c r="LH35" s="233"/>
      <c r="LI35" s="233"/>
      <c r="LJ35" s="233"/>
      <c r="LK35" s="233"/>
      <c r="LL35" s="233"/>
      <c r="LM35" s="233"/>
      <c r="LN35" s="233"/>
      <c r="LO35" s="233"/>
      <c r="LP35" s="233"/>
      <c r="LQ35" s="233"/>
      <c r="LR35" s="233"/>
      <c r="LS35" s="233"/>
      <c r="LT35" s="233"/>
      <c r="LU35" s="233"/>
      <c r="LV35" s="233"/>
      <c r="LW35" s="233"/>
      <c r="LX35" s="233"/>
      <c r="LY35" s="233"/>
      <c r="LZ35" s="233"/>
      <c r="MA35" s="233"/>
    </row>
    <row r="36" spans="1:339" s="54" customFormat="1" ht="60" customHeight="1" x14ac:dyDescent="0.25">
      <c r="A36" s="40" t="s">
        <v>1304</v>
      </c>
      <c r="B36" s="40" t="s">
        <v>1381</v>
      </c>
      <c r="C36" s="48" t="s">
        <v>1378</v>
      </c>
      <c r="D36" s="40" t="s">
        <v>2042</v>
      </c>
      <c r="E36" s="164" t="s">
        <v>1371</v>
      </c>
      <c r="F36" s="90" t="s">
        <v>212</v>
      </c>
      <c r="G36" s="90"/>
      <c r="H36" s="52"/>
      <c r="I36" s="15"/>
      <c r="J36" s="111" t="str">
        <f>IF(H36&gt;0,(H36*VLOOKUP(Lookups!$K$11,Lookups!$M$10:$P$43,4,0)/VLOOKUP(I36,Lookups!$M$10:$P$43,4,0)),"")</f>
        <v/>
      </c>
      <c r="K36" s="52"/>
      <c r="L36" s="15"/>
      <c r="M36" s="17" t="str">
        <f>IF(K36&gt;0,(K36*VLOOKUP(Lookups!$K$11,Lookups!$M$10:$P$43,4,0)/VLOOKUP(L36,Lookups!$M$10:$P$43,4,0)),"")</f>
        <v/>
      </c>
      <c r="N36" s="193">
        <v>13026</v>
      </c>
      <c r="O36" s="15" t="s">
        <v>259</v>
      </c>
      <c r="P36" s="17">
        <f>IF(N36&gt;0,(N36*VLOOKUP(Lookups!$K$11,Lookups!$M$10:$P$43,4,0)/VLOOKUP(O36,Lookups!$M$10:$P$43,4,0)),"")</f>
        <v>14814.424820588132</v>
      </c>
      <c r="Q36" s="234" t="s">
        <v>2405</v>
      </c>
      <c r="R36" s="15" t="s">
        <v>152</v>
      </c>
      <c r="S36" s="174" t="s">
        <v>2130</v>
      </c>
      <c r="T36" s="15" t="s">
        <v>923</v>
      </c>
      <c r="U36" s="90" t="s">
        <v>2372</v>
      </c>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c r="GF36" s="233"/>
      <c r="GG36" s="233"/>
      <c r="GH36" s="233"/>
      <c r="GI36" s="233"/>
      <c r="GJ36" s="233"/>
      <c r="GK36" s="233"/>
      <c r="GL36" s="233"/>
      <c r="GM36" s="233"/>
      <c r="GN36" s="233"/>
      <c r="GO36" s="233"/>
      <c r="GP36" s="233"/>
      <c r="GQ36" s="233"/>
      <c r="GR36" s="233"/>
      <c r="GS36" s="233"/>
      <c r="GT36" s="233"/>
      <c r="GU36" s="233"/>
      <c r="GV36" s="233"/>
      <c r="GW36" s="233"/>
      <c r="GX36" s="233"/>
      <c r="GY36" s="233"/>
      <c r="GZ36" s="233"/>
      <c r="HA36" s="233"/>
      <c r="HB36" s="233"/>
      <c r="HC36" s="233"/>
      <c r="HD36" s="233"/>
      <c r="HE36" s="233"/>
      <c r="HF36" s="233"/>
      <c r="HG36" s="233"/>
      <c r="HH36" s="233"/>
      <c r="HI36" s="233"/>
      <c r="HJ36" s="233"/>
      <c r="HK36" s="233"/>
      <c r="HL36" s="233"/>
      <c r="HM36" s="233"/>
      <c r="HN36" s="233"/>
      <c r="HO36" s="233"/>
      <c r="HP36" s="233"/>
      <c r="HQ36" s="233"/>
      <c r="HR36" s="233"/>
      <c r="HS36" s="233"/>
      <c r="HT36" s="233"/>
      <c r="HU36" s="233"/>
      <c r="HV36" s="233"/>
      <c r="HW36" s="233"/>
      <c r="HX36" s="233"/>
      <c r="HY36" s="233"/>
      <c r="HZ36" s="233"/>
      <c r="IA36" s="233"/>
      <c r="IB36" s="233"/>
      <c r="IC36" s="233"/>
      <c r="ID36" s="233"/>
      <c r="IE36" s="233"/>
      <c r="IF36" s="233"/>
      <c r="IG36" s="233"/>
      <c r="IH36" s="233"/>
      <c r="II36" s="233"/>
      <c r="IJ36" s="233"/>
      <c r="IK36" s="233"/>
      <c r="IL36" s="233"/>
      <c r="IM36" s="233"/>
      <c r="IN36" s="233"/>
      <c r="IO36" s="233"/>
      <c r="IP36" s="233"/>
      <c r="IQ36" s="233"/>
      <c r="IR36" s="233"/>
      <c r="IS36" s="233"/>
      <c r="IT36" s="233"/>
      <c r="IU36" s="233"/>
      <c r="IV36" s="233"/>
      <c r="IW36" s="233"/>
      <c r="IX36" s="233"/>
      <c r="IY36" s="233"/>
      <c r="IZ36" s="233"/>
      <c r="JA36" s="233"/>
      <c r="JB36" s="233"/>
      <c r="JC36" s="233"/>
      <c r="JD36" s="233"/>
      <c r="JE36" s="233"/>
      <c r="JF36" s="233"/>
      <c r="JG36" s="233"/>
      <c r="JH36" s="233"/>
      <c r="JI36" s="233"/>
      <c r="JJ36" s="233"/>
      <c r="JK36" s="233"/>
      <c r="JL36" s="233"/>
      <c r="JM36" s="233"/>
      <c r="JN36" s="233"/>
      <c r="JO36" s="233"/>
      <c r="JP36" s="233"/>
      <c r="JQ36" s="233"/>
      <c r="JR36" s="233"/>
      <c r="JS36" s="233"/>
      <c r="JT36" s="233"/>
      <c r="JU36" s="233"/>
      <c r="JV36" s="233"/>
      <c r="JW36" s="233"/>
      <c r="JX36" s="233"/>
      <c r="JY36" s="233"/>
      <c r="JZ36" s="233"/>
      <c r="KA36" s="233"/>
      <c r="KB36" s="233"/>
      <c r="KC36" s="233"/>
      <c r="KD36" s="233"/>
      <c r="KE36" s="233"/>
      <c r="KF36" s="233"/>
      <c r="KG36" s="233"/>
      <c r="KH36" s="233"/>
      <c r="KI36" s="233"/>
      <c r="KJ36" s="233"/>
      <c r="KK36" s="233"/>
      <c r="KL36" s="233"/>
      <c r="KM36" s="233"/>
      <c r="KN36" s="233"/>
      <c r="KO36" s="233"/>
      <c r="KP36" s="233"/>
      <c r="KQ36" s="233"/>
      <c r="KR36" s="233"/>
      <c r="KS36" s="233"/>
      <c r="KT36" s="233"/>
      <c r="KU36" s="233"/>
      <c r="KV36" s="233"/>
      <c r="KW36" s="233"/>
      <c r="KX36" s="233"/>
      <c r="KY36" s="233"/>
      <c r="KZ36" s="233"/>
      <c r="LA36" s="233"/>
      <c r="LB36" s="233"/>
      <c r="LC36" s="233"/>
      <c r="LD36" s="233"/>
      <c r="LE36" s="233"/>
      <c r="LF36" s="233"/>
      <c r="LG36" s="233"/>
      <c r="LH36" s="233"/>
      <c r="LI36" s="233"/>
      <c r="LJ36" s="233"/>
      <c r="LK36" s="233"/>
      <c r="LL36" s="233"/>
      <c r="LM36" s="233"/>
      <c r="LN36" s="233"/>
      <c r="LO36" s="233"/>
      <c r="LP36" s="233"/>
      <c r="LQ36" s="233"/>
      <c r="LR36" s="233"/>
      <c r="LS36" s="233"/>
      <c r="LT36" s="233"/>
      <c r="LU36" s="233"/>
      <c r="LV36" s="233"/>
      <c r="LW36" s="233"/>
      <c r="LX36" s="233"/>
      <c r="LY36" s="233"/>
      <c r="LZ36" s="233"/>
      <c r="MA36" s="233"/>
    </row>
    <row r="37" spans="1:339" s="54" customFormat="1" ht="60" customHeight="1" x14ac:dyDescent="0.25">
      <c r="A37" s="40" t="s">
        <v>1304</v>
      </c>
      <c r="B37" s="40" t="s">
        <v>1381</v>
      </c>
      <c r="C37" s="48" t="s">
        <v>1379</v>
      </c>
      <c r="D37" s="159" t="s">
        <v>1380</v>
      </c>
      <c r="E37" s="164" t="s">
        <v>1371</v>
      </c>
      <c r="F37" s="90" t="s">
        <v>212</v>
      </c>
      <c r="G37" s="90"/>
      <c r="H37" s="52"/>
      <c r="I37" s="15"/>
      <c r="J37" s="111" t="str">
        <f>IF(H37&gt;0,(H37*VLOOKUP(Lookups!$K$11,Lookups!$M$10:$P$43,4,0)/VLOOKUP(I37,Lookups!$M$10:$P$43,4,0)),"")</f>
        <v/>
      </c>
      <c r="K37" s="52"/>
      <c r="L37" s="15"/>
      <c r="M37" s="17" t="str">
        <f>IF(K37&gt;0,(K37*VLOOKUP(Lookups!$K$11,Lookups!$M$10:$P$43,4,0)/VLOOKUP(L37,Lookups!$M$10:$P$43,4,0)),"")</f>
        <v/>
      </c>
      <c r="N37" s="193">
        <v>7923</v>
      </c>
      <c r="O37" s="15" t="s">
        <v>259</v>
      </c>
      <c r="P37" s="17">
        <f>IF(N37&gt;0,(N37*VLOOKUP(Lookups!$K$11,Lookups!$M$10:$P$43,4,0)/VLOOKUP(O37,Lookups!$M$10:$P$43,4,0)),"")</f>
        <v>9010.8005414954532</v>
      </c>
      <c r="Q37" s="234" t="s">
        <v>2405</v>
      </c>
      <c r="R37" s="15" t="s">
        <v>152</v>
      </c>
      <c r="S37" s="174" t="s">
        <v>2131</v>
      </c>
      <c r="T37" s="15" t="s">
        <v>923</v>
      </c>
      <c r="U37" s="90" t="s">
        <v>2372</v>
      </c>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c r="GF37" s="233"/>
      <c r="GG37" s="233"/>
      <c r="GH37" s="233"/>
      <c r="GI37" s="233"/>
      <c r="GJ37" s="233"/>
      <c r="GK37" s="233"/>
      <c r="GL37" s="233"/>
      <c r="GM37" s="233"/>
      <c r="GN37" s="233"/>
      <c r="GO37" s="233"/>
      <c r="GP37" s="233"/>
      <c r="GQ37" s="233"/>
      <c r="GR37" s="233"/>
      <c r="GS37" s="233"/>
      <c r="GT37" s="233"/>
      <c r="GU37" s="233"/>
      <c r="GV37" s="233"/>
      <c r="GW37" s="233"/>
      <c r="GX37" s="233"/>
      <c r="GY37" s="233"/>
      <c r="GZ37" s="233"/>
      <c r="HA37" s="233"/>
      <c r="HB37" s="233"/>
      <c r="HC37" s="233"/>
      <c r="HD37" s="233"/>
      <c r="HE37" s="233"/>
      <c r="HF37" s="233"/>
      <c r="HG37" s="233"/>
      <c r="HH37" s="233"/>
      <c r="HI37" s="233"/>
      <c r="HJ37" s="233"/>
      <c r="HK37" s="233"/>
      <c r="HL37" s="233"/>
      <c r="HM37" s="233"/>
      <c r="HN37" s="233"/>
      <c r="HO37" s="233"/>
      <c r="HP37" s="233"/>
      <c r="HQ37" s="233"/>
      <c r="HR37" s="233"/>
      <c r="HS37" s="233"/>
      <c r="HT37" s="233"/>
      <c r="HU37" s="233"/>
      <c r="HV37" s="233"/>
      <c r="HW37" s="233"/>
      <c r="HX37" s="233"/>
      <c r="HY37" s="233"/>
      <c r="HZ37" s="233"/>
      <c r="IA37" s="233"/>
      <c r="IB37" s="233"/>
      <c r="IC37" s="233"/>
      <c r="ID37" s="233"/>
      <c r="IE37" s="233"/>
      <c r="IF37" s="233"/>
      <c r="IG37" s="233"/>
      <c r="IH37" s="233"/>
      <c r="II37" s="233"/>
      <c r="IJ37" s="233"/>
      <c r="IK37" s="233"/>
      <c r="IL37" s="233"/>
      <c r="IM37" s="233"/>
      <c r="IN37" s="233"/>
      <c r="IO37" s="233"/>
      <c r="IP37" s="233"/>
      <c r="IQ37" s="233"/>
      <c r="IR37" s="233"/>
      <c r="IS37" s="233"/>
      <c r="IT37" s="233"/>
      <c r="IU37" s="233"/>
      <c r="IV37" s="233"/>
      <c r="IW37" s="233"/>
      <c r="IX37" s="233"/>
      <c r="IY37" s="233"/>
      <c r="IZ37" s="233"/>
      <c r="JA37" s="233"/>
      <c r="JB37" s="233"/>
      <c r="JC37" s="233"/>
      <c r="JD37" s="233"/>
      <c r="JE37" s="233"/>
      <c r="JF37" s="233"/>
      <c r="JG37" s="233"/>
      <c r="JH37" s="233"/>
      <c r="JI37" s="233"/>
      <c r="JJ37" s="233"/>
      <c r="JK37" s="233"/>
      <c r="JL37" s="233"/>
      <c r="JM37" s="233"/>
      <c r="JN37" s="233"/>
      <c r="JO37" s="233"/>
      <c r="JP37" s="233"/>
      <c r="JQ37" s="233"/>
      <c r="JR37" s="233"/>
      <c r="JS37" s="233"/>
      <c r="JT37" s="233"/>
      <c r="JU37" s="233"/>
      <c r="JV37" s="233"/>
      <c r="JW37" s="233"/>
      <c r="JX37" s="233"/>
      <c r="JY37" s="233"/>
      <c r="JZ37" s="233"/>
      <c r="KA37" s="233"/>
      <c r="KB37" s="233"/>
      <c r="KC37" s="233"/>
      <c r="KD37" s="233"/>
      <c r="KE37" s="233"/>
      <c r="KF37" s="233"/>
      <c r="KG37" s="233"/>
      <c r="KH37" s="233"/>
      <c r="KI37" s="233"/>
      <c r="KJ37" s="233"/>
      <c r="KK37" s="233"/>
      <c r="KL37" s="233"/>
      <c r="KM37" s="233"/>
      <c r="KN37" s="233"/>
      <c r="KO37" s="233"/>
      <c r="KP37" s="233"/>
      <c r="KQ37" s="233"/>
      <c r="KR37" s="233"/>
      <c r="KS37" s="233"/>
      <c r="KT37" s="233"/>
      <c r="KU37" s="233"/>
      <c r="KV37" s="233"/>
      <c r="KW37" s="233"/>
      <c r="KX37" s="233"/>
      <c r="KY37" s="233"/>
      <c r="KZ37" s="233"/>
      <c r="LA37" s="233"/>
      <c r="LB37" s="233"/>
      <c r="LC37" s="233"/>
      <c r="LD37" s="233"/>
      <c r="LE37" s="233"/>
      <c r="LF37" s="233"/>
      <c r="LG37" s="233"/>
      <c r="LH37" s="233"/>
      <c r="LI37" s="233"/>
      <c r="LJ37" s="233"/>
      <c r="LK37" s="233"/>
      <c r="LL37" s="233"/>
      <c r="LM37" s="233"/>
      <c r="LN37" s="233"/>
      <c r="LO37" s="233"/>
      <c r="LP37" s="233"/>
      <c r="LQ37" s="233"/>
      <c r="LR37" s="233"/>
      <c r="LS37" s="233"/>
      <c r="LT37" s="233"/>
      <c r="LU37" s="233"/>
      <c r="LV37" s="233"/>
      <c r="LW37" s="233"/>
      <c r="LX37" s="233"/>
      <c r="LY37" s="233"/>
      <c r="LZ37" s="233"/>
      <c r="MA37" s="233"/>
    </row>
    <row r="38" spans="1:339" s="237" customFormat="1" ht="60" customHeight="1" x14ac:dyDescent="0.25">
      <c r="A38" s="242" t="s">
        <v>1304</v>
      </c>
      <c r="B38" s="40" t="s">
        <v>1381</v>
      </c>
      <c r="C38" s="48" t="s">
        <v>1383</v>
      </c>
      <c r="D38" s="243" t="s">
        <v>3169</v>
      </c>
      <c r="E38" s="100" t="s">
        <v>2443</v>
      </c>
      <c r="F38" s="101" t="s">
        <v>212</v>
      </c>
      <c r="G38" s="101"/>
      <c r="H38" s="101"/>
      <c r="I38" s="101"/>
      <c r="J38" s="101"/>
      <c r="K38" s="241">
        <v>17</v>
      </c>
      <c r="L38" s="217" t="s">
        <v>1520</v>
      </c>
      <c r="M38" s="241">
        <f>IF(K38&gt;0,(K38*VLOOKUP(Lookups!$K$11,Lookups!$M$10:$P$43,4,0)/VLOOKUP(L38,Lookups!$M$10:$P$43,4,0)),"")</f>
        <v>17.508691376457193</v>
      </c>
      <c r="N38" s="101"/>
      <c r="O38" s="101"/>
      <c r="P38" s="101"/>
      <c r="Q38" s="238" t="s">
        <v>2453</v>
      </c>
      <c r="R38" s="213" t="s">
        <v>154</v>
      </c>
      <c r="S38" s="100" t="s">
        <v>2444</v>
      </c>
      <c r="T38" s="218" t="s">
        <v>922</v>
      </c>
      <c r="U38" s="4" t="s">
        <v>2294</v>
      </c>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c r="GF38" s="233"/>
      <c r="GG38" s="233"/>
      <c r="GH38" s="233"/>
      <c r="GI38" s="233"/>
      <c r="GJ38" s="233"/>
      <c r="GK38" s="233"/>
      <c r="GL38" s="233"/>
      <c r="GM38" s="233"/>
      <c r="GN38" s="233"/>
      <c r="GO38" s="233"/>
      <c r="GP38" s="233"/>
      <c r="GQ38" s="233"/>
      <c r="GR38" s="233"/>
      <c r="GS38" s="233"/>
      <c r="GT38" s="233"/>
      <c r="GU38" s="233"/>
      <c r="GV38" s="233"/>
      <c r="GW38" s="233"/>
      <c r="GX38" s="233"/>
      <c r="GY38" s="233"/>
      <c r="GZ38" s="233"/>
      <c r="HA38" s="233"/>
      <c r="HB38" s="233"/>
      <c r="HC38" s="233"/>
      <c r="HD38" s="233"/>
      <c r="HE38" s="233"/>
      <c r="HF38" s="233"/>
      <c r="HG38" s="233"/>
      <c r="HH38" s="233"/>
      <c r="HI38" s="233"/>
      <c r="HJ38" s="233"/>
      <c r="HK38" s="233"/>
      <c r="HL38" s="233"/>
      <c r="HM38" s="233"/>
      <c r="HN38" s="233"/>
      <c r="HO38" s="233"/>
      <c r="HP38" s="233"/>
      <c r="HQ38" s="233"/>
      <c r="HR38" s="233"/>
      <c r="HS38" s="233"/>
      <c r="HT38" s="233"/>
      <c r="HU38" s="233"/>
      <c r="HV38" s="233"/>
      <c r="HW38" s="233"/>
      <c r="HX38" s="233"/>
      <c r="HY38" s="233"/>
      <c r="HZ38" s="233"/>
      <c r="IA38" s="233"/>
      <c r="IB38" s="233"/>
      <c r="IC38" s="233"/>
      <c r="ID38" s="233"/>
      <c r="IE38" s="233"/>
      <c r="IF38" s="233"/>
      <c r="IG38" s="233"/>
      <c r="IH38" s="233"/>
      <c r="II38" s="233"/>
      <c r="IJ38" s="233"/>
      <c r="IK38" s="233"/>
      <c r="IL38" s="233"/>
      <c r="IM38" s="233"/>
      <c r="IN38" s="233"/>
      <c r="IO38" s="233"/>
      <c r="IP38" s="233"/>
      <c r="IQ38" s="233"/>
      <c r="IR38" s="233"/>
      <c r="IS38" s="233"/>
      <c r="IT38" s="233"/>
      <c r="IU38" s="233"/>
      <c r="IV38" s="233"/>
      <c r="IW38" s="233"/>
      <c r="IX38" s="233"/>
      <c r="IY38" s="233"/>
      <c r="IZ38" s="233"/>
      <c r="JA38" s="233"/>
      <c r="JB38" s="233"/>
      <c r="JC38" s="233"/>
      <c r="JD38" s="233"/>
      <c r="JE38" s="233"/>
      <c r="JF38" s="233"/>
      <c r="JG38" s="233"/>
      <c r="JH38" s="233"/>
      <c r="JI38" s="233"/>
      <c r="JJ38" s="233"/>
      <c r="JK38" s="233"/>
      <c r="JL38" s="233"/>
      <c r="JM38" s="233"/>
      <c r="JN38" s="233"/>
      <c r="JO38" s="233"/>
      <c r="JP38" s="233"/>
      <c r="JQ38" s="233"/>
      <c r="JR38" s="233"/>
      <c r="JS38" s="233"/>
      <c r="JT38" s="233"/>
      <c r="JU38" s="233"/>
      <c r="JV38" s="233"/>
      <c r="JW38" s="233"/>
      <c r="JX38" s="233"/>
      <c r="JY38" s="233"/>
      <c r="JZ38" s="233"/>
      <c r="KA38" s="233"/>
      <c r="KB38" s="233"/>
      <c r="KC38" s="233"/>
      <c r="KD38" s="233"/>
      <c r="KE38" s="233"/>
      <c r="KF38" s="233"/>
      <c r="KG38" s="233"/>
      <c r="KH38" s="233"/>
      <c r="KI38" s="233"/>
      <c r="KJ38" s="233"/>
      <c r="KK38" s="233"/>
      <c r="KL38" s="233"/>
      <c r="KM38" s="233"/>
      <c r="KN38" s="233"/>
      <c r="KO38" s="233"/>
      <c r="KP38" s="233"/>
      <c r="KQ38" s="233"/>
      <c r="KR38" s="233"/>
      <c r="KS38" s="233"/>
      <c r="KT38" s="233"/>
      <c r="KU38" s="233"/>
      <c r="KV38" s="233"/>
      <c r="KW38" s="233"/>
      <c r="KX38" s="233"/>
      <c r="KY38" s="233"/>
      <c r="KZ38" s="233"/>
      <c r="LA38" s="233"/>
      <c r="LB38" s="233"/>
      <c r="LC38" s="233"/>
      <c r="LD38" s="233"/>
      <c r="LE38" s="233"/>
      <c r="LF38" s="233"/>
      <c r="LG38" s="233"/>
      <c r="LH38" s="233"/>
      <c r="LI38" s="233"/>
      <c r="LJ38" s="233"/>
      <c r="LK38" s="233"/>
      <c r="LL38" s="233"/>
      <c r="LM38" s="233"/>
      <c r="LN38" s="233"/>
      <c r="LO38" s="233"/>
      <c r="LP38" s="233"/>
      <c r="LQ38" s="233"/>
      <c r="LR38" s="233"/>
      <c r="LS38" s="233"/>
      <c r="LT38" s="233"/>
      <c r="LU38" s="233"/>
      <c r="LV38" s="233"/>
      <c r="LW38" s="233"/>
      <c r="LX38" s="233"/>
      <c r="LY38" s="233"/>
      <c r="LZ38" s="233"/>
      <c r="MA38" s="233"/>
    </row>
    <row r="39" spans="1:339" s="237" customFormat="1" ht="60" customHeight="1" x14ac:dyDescent="0.25">
      <c r="A39" s="242" t="s">
        <v>1304</v>
      </c>
      <c r="B39" s="40" t="s">
        <v>1381</v>
      </c>
      <c r="C39" s="48" t="s">
        <v>1395</v>
      </c>
      <c r="D39" s="243" t="s">
        <v>3170</v>
      </c>
      <c r="E39" s="100" t="s">
        <v>2443</v>
      </c>
      <c r="F39" s="101" t="s">
        <v>212</v>
      </c>
      <c r="G39" s="101"/>
      <c r="H39" s="101"/>
      <c r="I39" s="101"/>
      <c r="J39" s="101"/>
      <c r="K39" s="241">
        <v>931</v>
      </c>
      <c r="L39" s="217" t="s">
        <v>1520</v>
      </c>
      <c r="M39" s="241">
        <f>IF(K39&gt;0,(K39*VLOOKUP(Lookups!$K$11,Lookups!$M$10:$P$43,4,0)/VLOOKUP(L39,Lookups!$M$10:$P$43,4,0)),"")</f>
        <v>958.85833361656751</v>
      </c>
      <c r="N39" s="101"/>
      <c r="O39" s="101"/>
      <c r="P39" s="101"/>
      <c r="Q39" s="238" t="s">
        <v>2453</v>
      </c>
      <c r="R39" s="213" t="s">
        <v>154</v>
      </c>
      <c r="S39" s="100" t="s">
        <v>2444</v>
      </c>
      <c r="T39" s="218" t="s">
        <v>922</v>
      </c>
      <c r="U39" s="4" t="s">
        <v>2294</v>
      </c>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3"/>
      <c r="IP39" s="233"/>
      <c r="IQ39" s="233"/>
      <c r="IR39" s="233"/>
      <c r="IS39" s="233"/>
      <c r="IT39" s="233"/>
      <c r="IU39" s="233"/>
      <c r="IV39" s="233"/>
      <c r="IW39" s="233"/>
      <c r="IX39" s="233"/>
      <c r="IY39" s="233"/>
      <c r="IZ39" s="233"/>
      <c r="JA39" s="233"/>
      <c r="JB39" s="233"/>
      <c r="JC39" s="233"/>
      <c r="JD39" s="233"/>
      <c r="JE39" s="233"/>
      <c r="JF39" s="233"/>
      <c r="JG39" s="233"/>
      <c r="JH39" s="233"/>
      <c r="JI39" s="233"/>
      <c r="JJ39" s="233"/>
      <c r="JK39" s="233"/>
      <c r="JL39" s="233"/>
      <c r="JM39" s="233"/>
      <c r="JN39" s="233"/>
      <c r="JO39" s="233"/>
      <c r="JP39" s="233"/>
      <c r="JQ39" s="233"/>
      <c r="JR39" s="233"/>
      <c r="JS39" s="233"/>
      <c r="JT39" s="233"/>
      <c r="JU39" s="233"/>
      <c r="JV39" s="233"/>
      <c r="JW39" s="233"/>
      <c r="JX39" s="233"/>
      <c r="JY39" s="233"/>
      <c r="JZ39" s="233"/>
      <c r="KA39" s="233"/>
      <c r="KB39" s="233"/>
      <c r="KC39" s="233"/>
      <c r="KD39" s="233"/>
      <c r="KE39" s="233"/>
      <c r="KF39" s="233"/>
      <c r="KG39" s="233"/>
      <c r="KH39" s="233"/>
      <c r="KI39" s="233"/>
      <c r="KJ39" s="233"/>
      <c r="KK39" s="233"/>
      <c r="KL39" s="233"/>
      <c r="KM39" s="233"/>
      <c r="KN39" s="233"/>
      <c r="KO39" s="233"/>
      <c r="KP39" s="233"/>
      <c r="KQ39" s="233"/>
      <c r="KR39" s="233"/>
      <c r="KS39" s="233"/>
      <c r="KT39" s="233"/>
      <c r="KU39" s="233"/>
      <c r="KV39" s="233"/>
      <c r="KW39" s="233"/>
      <c r="KX39" s="233"/>
      <c r="KY39" s="233"/>
      <c r="KZ39" s="233"/>
      <c r="LA39" s="233"/>
      <c r="LB39" s="233"/>
      <c r="LC39" s="233"/>
      <c r="LD39" s="233"/>
      <c r="LE39" s="233"/>
      <c r="LF39" s="233"/>
      <c r="LG39" s="233"/>
      <c r="LH39" s="233"/>
      <c r="LI39" s="233"/>
      <c r="LJ39" s="233"/>
      <c r="LK39" s="233"/>
      <c r="LL39" s="233"/>
      <c r="LM39" s="233"/>
      <c r="LN39" s="233"/>
      <c r="LO39" s="233"/>
      <c r="LP39" s="233"/>
      <c r="LQ39" s="233"/>
      <c r="LR39" s="233"/>
      <c r="LS39" s="233"/>
      <c r="LT39" s="233"/>
      <c r="LU39" s="233"/>
      <c r="LV39" s="233"/>
      <c r="LW39" s="233"/>
      <c r="LX39" s="233"/>
      <c r="LY39" s="233"/>
      <c r="LZ39" s="233"/>
      <c r="MA39" s="233"/>
    </row>
    <row r="40" spans="1:339" s="56" customFormat="1" ht="60" customHeight="1" collapsed="1" x14ac:dyDescent="0.25">
      <c r="A40" s="40" t="s">
        <v>1304</v>
      </c>
      <c r="B40" s="40" t="s">
        <v>1382</v>
      </c>
      <c r="C40" s="48" t="s">
        <v>1400</v>
      </c>
      <c r="D40" s="40" t="s">
        <v>1389</v>
      </c>
      <c r="E40" s="164" t="s">
        <v>1388</v>
      </c>
      <c r="F40" s="113" t="s">
        <v>162</v>
      </c>
      <c r="G40" s="90" t="s">
        <v>1308</v>
      </c>
      <c r="H40" s="165">
        <v>640</v>
      </c>
      <c r="I40" s="15" t="s">
        <v>256</v>
      </c>
      <c r="J40" s="111">
        <f>IF(H40&gt;0,(H40*VLOOKUP(Lookups!$K$11,Lookups!$M$10:$P$43,4,0)/VLOOKUP(I40,Lookups!$M$10:$P$43,4,0)),"")</f>
        <v>761.65933279264743</v>
      </c>
      <c r="K40" s="165">
        <f t="shared" ref="K40:K45" si="0">H40/0.08</f>
        <v>8000</v>
      </c>
      <c r="L40" s="15" t="s">
        <v>256</v>
      </c>
      <c r="M40" s="17">
        <f>IF(K40&gt;0,(K40*VLOOKUP(Lookups!$K$11,Lookups!$M$10:$P$43,4,0)/VLOOKUP(L40,Lookups!$M$10:$P$43,4,0)),"")</f>
        <v>9520.7416599080934</v>
      </c>
      <c r="N40" s="165"/>
      <c r="O40" s="15"/>
      <c r="P40" s="17" t="str">
        <f>IF(N40&gt;0,(N40*VLOOKUP(Lookups!$K$11,Lookups!$M$10:$P$43,4,0)/VLOOKUP(O40,Lookups!$M$10:$P$43,4,0)),"")</f>
        <v/>
      </c>
      <c r="Q40" s="234" t="s">
        <v>1384</v>
      </c>
      <c r="R40" s="15" t="s">
        <v>152</v>
      </c>
      <c r="S40" s="174" t="s">
        <v>1385</v>
      </c>
      <c r="T40" s="15"/>
      <c r="U40" s="90"/>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c r="GF40" s="233"/>
      <c r="GG40" s="233"/>
      <c r="GH40" s="233"/>
      <c r="GI40" s="233"/>
      <c r="GJ40" s="233"/>
      <c r="GK40" s="233"/>
      <c r="GL40" s="233"/>
      <c r="GM40" s="233"/>
      <c r="GN40" s="233"/>
      <c r="GO40" s="233"/>
      <c r="GP40" s="233"/>
      <c r="GQ40" s="233"/>
      <c r="GR40" s="233"/>
      <c r="GS40" s="233"/>
      <c r="GT40" s="233"/>
      <c r="GU40" s="233"/>
      <c r="GV40" s="233"/>
      <c r="GW40" s="233"/>
      <c r="GX40" s="233"/>
      <c r="GY40" s="233"/>
      <c r="GZ40" s="233"/>
      <c r="HA40" s="233"/>
      <c r="HB40" s="233"/>
      <c r="HC40" s="233"/>
      <c r="HD40" s="233"/>
      <c r="HE40" s="233"/>
      <c r="HF40" s="233"/>
      <c r="HG40" s="233"/>
      <c r="HH40" s="233"/>
      <c r="HI40" s="233"/>
      <c r="HJ40" s="233"/>
      <c r="HK40" s="233"/>
      <c r="HL40" s="233"/>
      <c r="HM40" s="233"/>
      <c r="HN40" s="233"/>
      <c r="HO40" s="233"/>
      <c r="HP40" s="233"/>
      <c r="HQ40" s="233"/>
      <c r="HR40" s="233"/>
      <c r="HS40" s="233"/>
      <c r="HT40" s="233"/>
      <c r="HU40" s="233"/>
      <c r="HV40" s="233"/>
      <c r="HW40" s="233"/>
      <c r="HX40" s="233"/>
      <c r="HY40" s="233"/>
      <c r="HZ40" s="233"/>
      <c r="IA40" s="233"/>
      <c r="IB40" s="233"/>
      <c r="IC40" s="233"/>
      <c r="ID40" s="233"/>
      <c r="IE40" s="233"/>
      <c r="IF40" s="233"/>
      <c r="IG40" s="233"/>
      <c r="IH40" s="233"/>
      <c r="II40" s="233"/>
      <c r="IJ40" s="233"/>
      <c r="IK40" s="233"/>
      <c r="IL40" s="233"/>
      <c r="IM40" s="233"/>
      <c r="IN40" s="233"/>
      <c r="IO40" s="233"/>
      <c r="IP40" s="233"/>
      <c r="IQ40" s="233"/>
      <c r="IR40" s="233"/>
      <c r="IS40" s="233"/>
      <c r="IT40" s="233"/>
      <c r="IU40" s="233"/>
      <c r="IV40" s="233"/>
      <c r="IW40" s="233"/>
      <c r="IX40" s="233"/>
      <c r="IY40" s="233"/>
      <c r="IZ40" s="233"/>
      <c r="JA40" s="233"/>
      <c r="JB40" s="233"/>
      <c r="JC40" s="233"/>
      <c r="JD40" s="233"/>
      <c r="JE40" s="233"/>
      <c r="JF40" s="233"/>
      <c r="JG40" s="233"/>
      <c r="JH40" s="233"/>
      <c r="JI40" s="233"/>
      <c r="JJ40" s="233"/>
      <c r="JK40" s="233"/>
      <c r="JL40" s="233"/>
      <c r="JM40" s="233"/>
      <c r="JN40" s="233"/>
      <c r="JO40" s="233"/>
      <c r="JP40" s="233"/>
      <c r="JQ40" s="233"/>
      <c r="JR40" s="233"/>
      <c r="JS40" s="233"/>
      <c r="JT40" s="233"/>
      <c r="JU40" s="233"/>
      <c r="JV40" s="233"/>
      <c r="JW40" s="233"/>
      <c r="JX40" s="233"/>
      <c r="JY40" s="233"/>
      <c r="JZ40" s="233"/>
      <c r="KA40" s="233"/>
      <c r="KB40" s="233"/>
      <c r="KC40" s="233"/>
      <c r="KD40" s="233"/>
      <c r="KE40" s="233"/>
      <c r="KF40" s="233"/>
      <c r="KG40" s="233"/>
      <c r="KH40" s="233"/>
      <c r="KI40" s="233"/>
      <c r="KJ40" s="233"/>
      <c r="KK40" s="233"/>
      <c r="KL40" s="233"/>
      <c r="KM40" s="233"/>
      <c r="KN40" s="233"/>
      <c r="KO40" s="233"/>
      <c r="KP40" s="233"/>
      <c r="KQ40" s="233"/>
      <c r="KR40" s="233"/>
      <c r="KS40" s="233"/>
      <c r="KT40" s="233"/>
      <c r="KU40" s="233"/>
      <c r="KV40" s="233"/>
      <c r="KW40" s="233"/>
      <c r="KX40" s="233"/>
      <c r="KY40" s="233"/>
      <c r="KZ40" s="233"/>
      <c r="LA40" s="233"/>
      <c r="LB40" s="233"/>
      <c r="LC40" s="233"/>
      <c r="LD40" s="233"/>
      <c r="LE40" s="233"/>
      <c r="LF40" s="233"/>
      <c r="LG40" s="233"/>
      <c r="LH40" s="233"/>
      <c r="LI40" s="233"/>
      <c r="LJ40" s="233"/>
      <c r="LK40" s="233"/>
      <c r="LL40" s="233"/>
      <c r="LM40" s="233"/>
      <c r="LN40" s="233"/>
      <c r="LO40" s="233"/>
      <c r="LP40" s="233"/>
      <c r="LQ40" s="233"/>
      <c r="LR40" s="233"/>
      <c r="LS40" s="233"/>
      <c r="LT40" s="233"/>
      <c r="LU40" s="233"/>
      <c r="LV40" s="233"/>
      <c r="LW40" s="233"/>
      <c r="LX40" s="233"/>
      <c r="LY40" s="233"/>
      <c r="LZ40" s="233"/>
      <c r="MA40" s="233"/>
    </row>
    <row r="41" spans="1:339" s="47" customFormat="1" ht="60" hidden="1" customHeight="1" outlineLevel="1" collapsed="1" x14ac:dyDescent="0.25">
      <c r="A41" s="50" t="s">
        <v>1304</v>
      </c>
      <c r="B41" s="50" t="s">
        <v>1382</v>
      </c>
      <c r="C41" s="50" t="s">
        <v>3122</v>
      </c>
      <c r="D41" s="50" t="s">
        <v>1390</v>
      </c>
      <c r="E41" s="164" t="s">
        <v>1388</v>
      </c>
      <c r="F41" s="113" t="s">
        <v>162</v>
      </c>
      <c r="G41" s="90" t="s">
        <v>1308</v>
      </c>
      <c r="H41" s="165">
        <v>94</v>
      </c>
      <c r="I41" s="15" t="s">
        <v>256</v>
      </c>
      <c r="J41" s="17">
        <f>IF(H41&gt;0,(H41*VLOOKUP(Lookups!$K$11,Lookups!$M$10:$P$43,4,0)/VLOOKUP(I41,Lookups!$M$10:$P$43,4,0)),"")</f>
        <v>111.8687145039201</v>
      </c>
      <c r="K41" s="165">
        <f t="shared" si="0"/>
        <v>1175</v>
      </c>
      <c r="L41" s="15" t="s">
        <v>256</v>
      </c>
      <c r="M41" s="17">
        <f>IF(K41&gt;0,(K41*VLOOKUP(Lookups!$K$11,Lookups!$M$10:$P$43,4,0)/VLOOKUP(L41,Lookups!$M$10:$P$43,4,0)),"")</f>
        <v>1398.3589312990011</v>
      </c>
      <c r="N41" s="165"/>
      <c r="O41" s="15"/>
      <c r="P41" s="17" t="str">
        <f>IF(N41&gt;0,(N41*VLOOKUP(Lookups!$K$11,Lookups!$M$10:$P$43,4,0)/VLOOKUP(O41,Lookups!$M$10:$P$43,4,0)),"")</f>
        <v/>
      </c>
      <c r="Q41" s="234" t="s">
        <v>1384</v>
      </c>
      <c r="R41" s="15" t="s">
        <v>152</v>
      </c>
      <c r="S41" s="174" t="s">
        <v>1385</v>
      </c>
      <c r="T41" s="15"/>
      <c r="U41" s="90"/>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c r="DB41" s="233"/>
      <c r="DC41" s="233"/>
      <c r="DD41" s="233"/>
      <c r="DE41" s="233"/>
      <c r="DF41" s="233"/>
      <c r="DG41" s="233"/>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3"/>
      <c r="EK41" s="233"/>
      <c r="EL41" s="233"/>
      <c r="EM41" s="233"/>
      <c r="EN41" s="233"/>
      <c r="EO41" s="233"/>
      <c r="EP41" s="233"/>
      <c r="EQ41" s="233"/>
      <c r="ER41" s="233"/>
      <c r="ES41" s="233"/>
      <c r="ET41" s="233"/>
      <c r="EU41" s="233"/>
      <c r="EV41" s="233"/>
      <c r="EW41" s="233"/>
      <c r="EX41" s="233"/>
      <c r="EY41" s="233"/>
      <c r="EZ41" s="233"/>
      <c r="FA41" s="233"/>
      <c r="FB41" s="233"/>
      <c r="FC41" s="233"/>
      <c r="FD41" s="233"/>
      <c r="FE41" s="233"/>
      <c r="FF41" s="233"/>
      <c r="FG41" s="233"/>
      <c r="FH41" s="233"/>
      <c r="FI41" s="233"/>
      <c r="FJ41" s="233"/>
      <c r="FK41" s="233"/>
      <c r="FL41" s="233"/>
      <c r="FM41" s="233"/>
      <c r="FN41" s="233"/>
      <c r="FO41" s="233"/>
      <c r="FP41" s="233"/>
      <c r="FQ41" s="233"/>
      <c r="FR41" s="233"/>
      <c r="FS41" s="233"/>
      <c r="FT41" s="233"/>
      <c r="FU41" s="233"/>
      <c r="FV41" s="233"/>
      <c r="FW41" s="233"/>
      <c r="FX41" s="233"/>
      <c r="FY41" s="233"/>
      <c r="FZ41" s="233"/>
      <c r="GA41" s="233"/>
      <c r="GB41" s="233"/>
      <c r="GC41" s="233"/>
      <c r="GD41" s="233"/>
      <c r="GE41" s="233"/>
      <c r="GF41" s="233"/>
      <c r="GG41" s="233"/>
      <c r="GH41" s="233"/>
      <c r="GI41" s="233"/>
      <c r="GJ41" s="233"/>
      <c r="GK41" s="233"/>
      <c r="GL41" s="233"/>
      <c r="GM41" s="233"/>
      <c r="GN41" s="233"/>
      <c r="GO41" s="233"/>
      <c r="GP41" s="233"/>
      <c r="GQ41" s="233"/>
      <c r="GR41" s="233"/>
      <c r="GS41" s="233"/>
      <c r="GT41" s="233"/>
      <c r="GU41" s="233"/>
      <c r="GV41" s="233"/>
      <c r="GW41" s="233"/>
      <c r="GX41" s="233"/>
      <c r="GY41" s="233"/>
      <c r="GZ41" s="233"/>
      <c r="HA41" s="233"/>
      <c r="HB41" s="233"/>
      <c r="HC41" s="233"/>
      <c r="HD41" s="233"/>
      <c r="HE41" s="233"/>
      <c r="HF41" s="233"/>
      <c r="HG41" s="233"/>
      <c r="HH41" s="233"/>
      <c r="HI41" s="233"/>
      <c r="HJ41" s="233"/>
      <c r="HK41" s="233"/>
      <c r="HL41" s="233"/>
      <c r="HM41" s="233"/>
      <c r="HN41" s="233"/>
      <c r="HO41" s="233"/>
      <c r="HP41" s="233"/>
      <c r="HQ41" s="233"/>
      <c r="HR41" s="233"/>
      <c r="HS41" s="233"/>
      <c r="HT41" s="233"/>
      <c r="HU41" s="233"/>
      <c r="HV41" s="233"/>
      <c r="HW41" s="233"/>
      <c r="HX41" s="233"/>
      <c r="HY41" s="233"/>
      <c r="HZ41" s="233"/>
      <c r="IA41" s="233"/>
      <c r="IB41" s="233"/>
      <c r="IC41" s="233"/>
      <c r="ID41" s="233"/>
      <c r="IE41" s="233"/>
      <c r="IF41" s="233"/>
      <c r="IG41" s="233"/>
      <c r="IH41" s="233"/>
      <c r="II41" s="233"/>
      <c r="IJ41" s="233"/>
      <c r="IK41" s="233"/>
      <c r="IL41" s="233"/>
      <c r="IM41" s="233"/>
      <c r="IN41" s="233"/>
      <c r="IO41" s="233"/>
      <c r="IP41" s="233"/>
      <c r="IQ41" s="233"/>
      <c r="IR41" s="233"/>
      <c r="IS41" s="233"/>
      <c r="IT41" s="233"/>
      <c r="IU41" s="233"/>
      <c r="IV41" s="233"/>
      <c r="IW41" s="233"/>
      <c r="IX41" s="233"/>
      <c r="IY41" s="233"/>
      <c r="IZ41" s="233"/>
      <c r="JA41" s="233"/>
      <c r="JB41" s="233"/>
      <c r="JC41" s="233"/>
      <c r="JD41" s="233"/>
      <c r="JE41" s="233"/>
      <c r="JF41" s="233"/>
      <c r="JG41" s="233"/>
      <c r="JH41" s="233"/>
      <c r="JI41" s="233"/>
      <c r="JJ41" s="233"/>
      <c r="JK41" s="233"/>
      <c r="JL41" s="233"/>
      <c r="JM41" s="233"/>
      <c r="JN41" s="233"/>
      <c r="JO41" s="233"/>
      <c r="JP41" s="233"/>
      <c r="JQ41" s="233"/>
      <c r="JR41" s="233"/>
      <c r="JS41" s="233"/>
      <c r="JT41" s="233"/>
      <c r="JU41" s="233"/>
      <c r="JV41" s="233"/>
      <c r="JW41" s="233"/>
      <c r="JX41" s="233"/>
      <c r="JY41" s="233"/>
      <c r="JZ41" s="233"/>
      <c r="KA41" s="233"/>
      <c r="KB41" s="233"/>
      <c r="KC41" s="233"/>
      <c r="KD41" s="233"/>
      <c r="KE41" s="233"/>
      <c r="KF41" s="233"/>
      <c r="KG41" s="233"/>
      <c r="KH41" s="233"/>
      <c r="KI41" s="233"/>
      <c r="KJ41" s="233"/>
      <c r="KK41" s="233"/>
      <c r="KL41" s="233"/>
      <c r="KM41" s="233"/>
      <c r="KN41" s="233"/>
      <c r="KO41" s="233"/>
      <c r="KP41" s="233"/>
      <c r="KQ41" s="233"/>
      <c r="KR41" s="233"/>
      <c r="KS41" s="233"/>
      <c r="KT41" s="233"/>
      <c r="KU41" s="233"/>
      <c r="KV41" s="233"/>
      <c r="KW41" s="233"/>
      <c r="KX41" s="233"/>
      <c r="KY41" s="233"/>
      <c r="KZ41" s="233"/>
      <c r="LA41" s="233"/>
      <c r="LB41" s="233"/>
      <c r="LC41" s="233"/>
      <c r="LD41" s="233"/>
      <c r="LE41" s="233"/>
      <c r="LF41" s="233"/>
      <c r="LG41" s="233"/>
      <c r="LH41" s="233"/>
      <c r="LI41" s="233"/>
      <c r="LJ41" s="233"/>
      <c r="LK41" s="233"/>
      <c r="LL41" s="233"/>
      <c r="LM41" s="233"/>
      <c r="LN41" s="233"/>
      <c r="LO41" s="233"/>
      <c r="LP41" s="233"/>
      <c r="LQ41" s="233"/>
      <c r="LR41" s="233"/>
      <c r="LS41" s="233"/>
      <c r="LT41" s="233"/>
      <c r="LU41" s="233"/>
      <c r="LV41" s="233"/>
      <c r="LW41" s="233"/>
      <c r="LX41" s="233"/>
      <c r="LY41" s="233"/>
      <c r="LZ41" s="233"/>
      <c r="MA41" s="233"/>
    </row>
    <row r="42" spans="1:339" s="47" customFormat="1" ht="60" hidden="1" customHeight="1" outlineLevel="1" x14ac:dyDescent="0.25">
      <c r="A42" s="50" t="s">
        <v>1304</v>
      </c>
      <c r="B42" s="50" t="s">
        <v>1382</v>
      </c>
      <c r="C42" s="50" t="s">
        <v>3123</v>
      </c>
      <c r="D42" s="50" t="s">
        <v>1391</v>
      </c>
      <c r="E42" s="164" t="s">
        <v>1388</v>
      </c>
      <c r="F42" s="113" t="s">
        <v>162</v>
      </c>
      <c r="G42" s="90" t="s">
        <v>1308</v>
      </c>
      <c r="H42" s="165">
        <f>96</f>
        <v>96</v>
      </c>
      <c r="I42" s="15" t="s">
        <v>256</v>
      </c>
      <c r="J42" s="17">
        <f>IF(H42&gt;0,(H42*VLOOKUP(Lookups!$K$11,Lookups!$M$10:$P$43,4,0)/VLOOKUP(I42,Lookups!$M$10:$P$43,4,0)),"")</f>
        <v>114.24889991889712</v>
      </c>
      <c r="K42" s="165">
        <f t="shared" si="0"/>
        <v>1200</v>
      </c>
      <c r="L42" s="15" t="s">
        <v>256</v>
      </c>
      <c r="M42" s="17">
        <f>IF(K42&gt;0,(K42*VLOOKUP(Lookups!$K$11,Lookups!$M$10:$P$43,4,0)/VLOOKUP(L42,Lookups!$M$10:$P$43,4,0)),"")</f>
        <v>1428.1112489862139</v>
      </c>
      <c r="N42" s="165"/>
      <c r="O42" s="15"/>
      <c r="P42" s="17" t="str">
        <f>IF(N42&gt;0,(N42*VLOOKUP(Lookups!$K$11,Lookups!$M$10:$P$43,4,0)/VLOOKUP(O42,Lookups!$M$10:$P$43,4,0)),"")</f>
        <v/>
      </c>
      <c r="Q42" s="234" t="s">
        <v>1384</v>
      </c>
      <c r="R42" s="15" t="s">
        <v>152</v>
      </c>
      <c r="S42" s="174" t="s">
        <v>1386</v>
      </c>
      <c r="T42" s="15"/>
      <c r="U42" s="90"/>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3"/>
      <c r="FI42" s="233"/>
      <c r="FJ42" s="233"/>
      <c r="FK42" s="233"/>
      <c r="FL42" s="233"/>
      <c r="FM42" s="233"/>
      <c r="FN42" s="233"/>
      <c r="FO42" s="233"/>
      <c r="FP42" s="233"/>
      <c r="FQ42" s="233"/>
      <c r="FR42" s="233"/>
      <c r="FS42" s="233"/>
      <c r="FT42" s="233"/>
      <c r="FU42" s="233"/>
      <c r="FV42" s="233"/>
      <c r="FW42" s="233"/>
      <c r="FX42" s="233"/>
      <c r="FY42" s="233"/>
      <c r="FZ42" s="233"/>
      <c r="GA42" s="233"/>
      <c r="GB42" s="233"/>
      <c r="GC42" s="233"/>
      <c r="GD42" s="233"/>
      <c r="GE42" s="233"/>
      <c r="GF42" s="233"/>
      <c r="GG42" s="233"/>
      <c r="GH42" s="233"/>
      <c r="GI42" s="233"/>
      <c r="GJ42" s="233"/>
      <c r="GK42" s="233"/>
      <c r="GL42" s="233"/>
      <c r="GM42" s="233"/>
      <c r="GN42" s="233"/>
      <c r="GO42" s="233"/>
      <c r="GP42" s="233"/>
      <c r="GQ42" s="233"/>
      <c r="GR42" s="233"/>
      <c r="GS42" s="233"/>
      <c r="GT42" s="233"/>
      <c r="GU42" s="233"/>
      <c r="GV42" s="233"/>
      <c r="GW42" s="233"/>
      <c r="GX42" s="233"/>
      <c r="GY42" s="233"/>
      <c r="GZ42" s="233"/>
      <c r="HA42" s="233"/>
      <c r="HB42" s="233"/>
      <c r="HC42" s="233"/>
      <c r="HD42" s="233"/>
      <c r="HE42" s="233"/>
      <c r="HF42" s="233"/>
      <c r="HG42" s="233"/>
      <c r="HH42" s="233"/>
      <c r="HI42" s="233"/>
      <c r="HJ42" s="233"/>
      <c r="HK42" s="233"/>
      <c r="HL42" s="233"/>
      <c r="HM42" s="233"/>
      <c r="HN42" s="233"/>
      <c r="HO42" s="233"/>
      <c r="HP42" s="233"/>
      <c r="HQ42" s="233"/>
      <c r="HR42" s="233"/>
      <c r="HS42" s="233"/>
      <c r="HT42" s="233"/>
      <c r="HU42" s="233"/>
      <c r="HV42" s="233"/>
      <c r="HW42" s="233"/>
      <c r="HX42" s="233"/>
      <c r="HY42" s="233"/>
      <c r="HZ42" s="233"/>
      <c r="IA42" s="233"/>
      <c r="IB42" s="233"/>
      <c r="IC42" s="233"/>
      <c r="ID42" s="233"/>
      <c r="IE42" s="233"/>
      <c r="IF42" s="233"/>
      <c r="IG42" s="233"/>
      <c r="IH42" s="233"/>
      <c r="II42" s="233"/>
      <c r="IJ42" s="233"/>
      <c r="IK42" s="233"/>
      <c r="IL42" s="233"/>
      <c r="IM42" s="233"/>
      <c r="IN42" s="233"/>
      <c r="IO42" s="233"/>
      <c r="IP42" s="233"/>
      <c r="IQ42" s="233"/>
      <c r="IR42" s="233"/>
      <c r="IS42" s="233"/>
      <c r="IT42" s="233"/>
      <c r="IU42" s="233"/>
      <c r="IV42" s="233"/>
      <c r="IW42" s="233"/>
      <c r="IX42" s="233"/>
      <c r="IY42" s="233"/>
      <c r="IZ42" s="233"/>
      <c r="JA42" s="233"/>
      <c r="JB42" s="233"/>
      <c r="JC42" s="233"/>
      <c r="JD42" s="233"/>
      <c r="JE42" s="233"/>
      <c r="JF42" s="233"/>
      <c r="JG42" s="233"/>
      <c r="JH42" s="233"/>
      <c r="JI42" s="233"/>
      <c r="JJ42" s="233"/>
      <c r="JK42" s="233"/>
      <c r="JL42" s="233"/>
      <c r="JM42" s="233"/>
      <c r="JN42" s="233"/>
      <c r="JO42" s="233"/>
      <c r="JP42" s="233"/>
      <c r="JQ42" s="233"/>
      <c r="JR42" s="233"/>
      <c r="JS42" s="233"/>
      <c r="JT42" s="233"/>
      <c r="JU42" s="233"/>
      <c r="JV42" s="233"/>
      <c r="JW42" s="233"/>
      <c r="JX42" s="233"/>
      <c r="JY42" s="233"/>
      <c r="JZ42" s="233"/>
      <c r="KA42" s="233"/>
      <c r="KB42" s="233"/>
      <c r="KC42" s="233"/>
      <c r="KD42" s="233"/>
      <c r="KE42" s="233"/>
      <c r="KF42" s="233"/>
      <c r="KG42" s="233"/>
      <c r="KH42" s="233"/>
      <c r="KI42" s="233"/>
      <c r="KJ42" s="233"/>
      <c r="KK42" s="233"/>
      <c r="KL42" s="233"/>
      <c r="KM42" s="233"/>
      <c r="KN42" s="233"/>
      <c r="KO42" s="233"/>
      <c r="KP42" s="233"/>
      <c r="KQ42" s="233"/>
      <c r="KR42" s="233"/>
      <c r="KS42" s="233"/>
      <c r="KT42" s="233"/>
      <c r="KU42" s="233"/>
      <c r="KV42" s="233"/>
      <c r="KW42" s="233"/>
      <c r="KX42" s="233"/>
      <c r="KY42" s="233"/>
      <c r="KZ42" s="233"/>
      <c r="LA42" s="233"/>
      <c r="LB42" s="233"/>
      <c r="LC42" s="233"/>
      <c r="LD42" s="233"/>
      <c r="LE42" s="233"/>
      <c r="LF42" s="233"/>
      <c r="LG42" s="233"/>
      <c r="LH42" s="233"/>
      <c r="LI42" s="233"/>
      <c r="LJ42" s="233"/>
      <c r="LK42" s="233"/>
      <c r="LL42" s="233"/>
      <c r="LM42" s="233"/>
      <c r="LN42" s="233"/>
      <c r="LO42" s="233"/>
      <c r="LP42" s="233"/>
      <c r="LQ42" s="233"/>
      <c r="LR42" s="233"/>
      <c r="LS42" s="233"/>
      <c r="LT42" s="233"/>
      <c r="LU42" s="233"/>
      <c r="LV42" s="233"/>
      <c r="LW42" s="233"/>
      <c r="LX42" s="233"/>
      <c r="LY42" s="233"/>
      <c r="LZ42" s="233"/>
      <c r="MA42" s="233"/>
    </row>
    <row r="43" spans="1:339" s="47" customFormat="1" ht="60" hidden="1" customHeight="1" outlineLevel="1" x14ac:dyDescent="0.25">
      <c r="A43" s="50" t="s">
        <v>1304</v>
      </c>
      <c r="B43" s="50" t="s">
        <v>1382</v>
      </c>
      <c r="C43" s="50" t="s">
        <v>3124</v>
      </c>
      <c r="D43" s="50" t="s">
        <v>1392</v>
      </c>
      <c r="E43" s="164" t="s">
        <v>1388</v>
      </c>
      <c r="F43" s="113" t="s">
        <v>162</v>
      </c>
      <c r="G43" s="90" t="s">
        <v>1308</v>
      </c>
      <c r="H43" s="165">
        <v>97</v>
      </c>
      <c r="I43" s="15" t="s">
        <v>256</v>
      </c>
      <c r="J43" s="17">
        <f>IF(H43&gt;0,(H43*VLOOKUP(Lookups!$K$11,Lookups!$M$10:$P$43,4,0)/VLOOKUP(I43,Lookups!$M$10:$P$43,4,0)),"")</f>
        <v>115.43899262638564</v>
      </c>
      <c r="K43" s="165">
        <f t="shared" si="0"/>
        <v>1212.5</v>
      </c>
      <c r="L43" s="15" t="s">
        <v>256</v>
      </c>
      <c r="M43" s="17">
        <f>IF(K43&gt;0,(K43*VLOOKUP(Lookups!$K$11,Lookups!$M$10:$P$43,4,0)/VLOOKUP(L43,Lookups!$M$10:$P$43,4,0)),"")</f>
        <v>1442.9874078298205</v>
      </c>
      <c r="N43" s="165"/>
      <c r="O43" s="15"/>
      <c r="P43" s="17" t="str">
        <f>IF(N43&gt;0,(N43*VLOOKUP(Lookups!$K$11,Lookups!$M$10:$P$43,4,0)/VLOOKUP(O43,Lookups!$M$10:$P$43,4,0)),"")</f>
        <v/>
      </c>
      <c r="Q43" s="234" t="s">
        <v>1384</v>
      </c>
      <c r="R43" s="15" t="s">
        <v>152</v>
      </c>
      <c r="S43" s="174" t="s">
        <v>1385</v>
      </c>
      <c r="T43" s="15"/>
      <c r="U43" s="90"/>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c r="IE43" s="233"/>
      <c r="IF43" s="233"/>
      <c r="IG43" s="233"/>
      <c r="IH43" s="233"/>
      <c r="II43" s="233"/>
      <c r="IJ43" s="233"/>
      <c r="IK43" s="233"/>
      <c r="IL43" s="233"/>
      <c r="IM43" s="233"/>
      <c r="IN43" s="233"/>
      <c r="IO43" s="233"/>
      <c r="IP43" s="233"/>
      <c r="IQ43" s="233"/>
      <c r="IR43" s="233"/>
      <c r="IS43" s="233"/>
      <c r="IT43" s="233"/>
      <c r="IU43" s="233"/>
      <c r="IV43" s="233"/>
      <c r="IW43" s="233"/>
      <c r="IX43" s="233"/>
      <c r="IY43" s="233"/>
      <c r="IZ43" s="233"/>
      <c r="JA43" s="233"/>
      <c r="JB43" s="233"/>
      <c r="JC43" s="233"/>
      <c r="JD43" s="233"/>
      <c r="JE43" s="233"/>
      <c r="JF43" s="233"/>
      <c r="JG43" s="233"/>
      <c r="JH43" s="233"/>
      <c r="JI43" s="233"/>
      <c r="JJ43" s="233"/>
      <c r="JK43" s="233"/>
      <c r="JL43" s="233"/>
      <c r="JM43" s="233"/>
      <c r="JN43" s="233"/>
      <c r="JO43" s="233"/>
      <c r="JP43" s="233"/>
      <c r="JQ43" s="233"/>
      <c r="JR43" s="233"/>
      <c r="JS43" s="233"/>
      <c r="JT43" s="233"/>
      <c r="JU43" s="233"/>
      <c r="JV43" s="233"/>
      <c r="JW43" s="233"/>
      <c r="JX43" s="233"/>
      <c r="JY43" s="233"/>
      <c r="JZ43" s="233"/>
      <c r="KA43" s="233"/>
      <c r="KB43" s="233"/>
      <c r="KC43" s="233"/>
      <c r="KD43" s="233"/>
      <c r="KE43" s="233"/>
      <c r="KF43" s="233"/>
      <c r="KG43" s="233"/>
      <c r="KH43" s="233"/>
      <c r="KI43" s="233"/>
      <c r="KJ43" s="233"/>
      <c r="KK43" s="233"/>
      <c r="KL43" s="233"/>
      <c r="KM43" s="233"/>
      <c r="KN43" s="233"/>
      <c r="KO43" s="233"/>
      <c r="KP43" s="233"/>
      <c r="KQ43" s="233"/>
      <c r="KR43" s="233"/>
      <c r="KS43" s="233"/>
      <c r="KT43" s="233"/>
      <c r="KU43" s="233"/>
      <c r="KV43" s="233"/>
      <c r="KW43" s="233"/>
      <c r="KX43" s="233"/>
      <c r="KY43" s="233"/>
      <c r="KZ43" s="233"/>
      <c r="LA43" s="233"/>
      <c r="LB43" s="233"/>
      <c r="LC43" s="233"/>
      <c r="LD43" s="233"/>
      <c r="LE43" s="233"/>
      <c r="LF43" s="233"/>
      <c r="LG43" s="233"/>
      <c r="LH43" s="233"/>
      <c r="LI43" s="233"/>
      <c r="LJ43" s="233"/>
      <c r="LK43" s="233"/>
      <c r="LL43" s="233"/>
      <c r="LM43" s="233"/>
      <c r="LN43" s="233"/>
      <c r="LO43" s="233"/>
      <c r="LP43" s="233"/>
      <c r="LQ43" s="233"/>
      <c r="LR43" s="233"/>
      <c r="LS43" s="233"/>
      <c r="LT43" s="233"/>
      <c r="LU43" s="233"/>
      <c r="LV43" s="233"/>
      <c r="LW43" s="233"/>
      <c r="LX43" s="233"/>
      <c r="LY43" s="233"/>
      <c r="LZ43" s="233"/>
      <c r="MA43" s="233"/>
    </row>
    <row r="44" spans="1:339" s="47" customFormat="1" ht="60" hidden="1" customHeight="1" outlineLevel="1" x14ac:dyDescent="0.25">
      <c r="A44" s="50" t="s">
        <v>1304</v>
      </c>
      <c r="B44" s="50" t="s">
        <v>1382</v>
      </c>
      <c r="C44" s="50" t="s">
        <v>3125</v>
      </c>
      <c r="D44" s="50" t="s">
        <v>1393</v>
      </c>
      <c r="E44" s="164" t="s">
        <v>1388</v>
      </c>
      <c r="F44" s="113" t="s">
        <v>162</v>
      </c>
      <c r="G44" s="90" t="s">
        <v>1308</v>
      </c>
      <c r="H44" s="165">
        <v>134</v>
      </c>
      <c r="I44" s="15" t="s">
        <v>256</v>
      </c>
      <c r="J44" s="17">
        <f>IF(H44&gt;0,(H44*VLOOKUP(Lookups!$K$11,Lookups!$M$10:$P$43,4,0)/VLOOKUP(I44,Lookups!$M$10:$P$43,4,0)),"")</f>
        <v>159.47242280346055</v>
      </c>
      <c r="K44" s="165">
        <f t="shared" si="0"/>
        <v>1675</v>
      </c>
      <c r="L44" s="15" t="s">
        <v>256</v>
      </c>
      <c r="M44" s="17">
        <f>IF(K44&gt;0,(K44*VLOOKUP(Lookups!$K$11,Lookups!$M$10:$P$43,4,0)/VLOOKUP(L44,Lookups!$M$10:$P$43,4,0)),"")</f>
        <v>1993.405285043257</v>
      </c>
      <c r="N44" s="165"/>
      <c r="O44" s="15"/>
      <c r="P44" s="17" t="str">
        <f>IF(N44&gt;0,(N44*VLOOKUP(Lookups!$K$11,Lookups!$M$10:$P$43,4,0)/VLOOKUP(O44,Lookups!$M$10:$P$43,4,0)),"")</f>
        <v/>
      </c>
      <c r="Q44" s="234" t="s">
        <v>1384</v>
      </c>
      <c r="R44" s="15" t="s">
        <v>152</v>
      </c>
      <c r="S44" s="174" t="s">
        <v>1385</v>
      </c>
      <c r="T44" s="15"/>
      <c r="U44" s="90"/>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3"/>
      <c r="FV44" s="233"/>
      <c r="FW44" s="233"/>
      <c r="FX44" s="233"/>
      <c r="FY44" s="233"/>
      <c r="FZ44" s="233"/>
      <c r="GA44" s="233"/>
      <c r="GB44" s="233"/>
      <c r="GC44" s="233"/>
      <c r="GD44" s="233"/>
      <c r="GE44" s="233"/>
      <c r="GF44" s="233"/>
      <c r="GG44" s="233"/>
      <c r="GH44" s="233"/>
      <c r="GI44" s="233"/>
      <c r="GJ44" s="233"/>
      <c r="GK44" s="233"/>
      <c r="GL44" s="233"/>
      <c r="GM44" s="233"/>
      <c r="GN44" s="233"/>
      <c r="GO44" s="233"/>
      <c r="GP44" s="233"/>
      <c r="GQ44" s="233"/>
      <c r="GR44" s="233"/>
      <c r="GS44" s="233"/>
      <c r="GT44" s="233"/>
      <c r="GU44" s="233"/>
      <c r="GV44" s="233"/>
      <c r="GW44" s="233"/>
      <c r="GX44" s="233"/>
      <c r="GY44" s="233"/>
      <c r="GZ44" s="233"/>
      <c r="HA44" s="233"/>
      <c r="HB44" s="233"/>
      <c r="HC44" s="233"/>
      <c r="HD44" s="233"/>
      <c r="HE44" s="233"/>
      <c r="HF44" s="233"/>
      <c r="HG44" s="233"/>
      <c r="HH44" s="233"/>
      <c r="HI44" s="233"/>
      <c r="HJ44" s="233"/>
      <c r="HK44" s="233"/>
      <c r="HL44" s="233"/>
      <c r="HM44" s="233"/>
      <c r="HN44" s="233"/>
      <c r="HO44" s="233"/>
      <c r="HP44" s="233"/>
      <c r="HQ44" s="233"/>
      <c r="HR44" s="233"/>
      <c r="HS44" s="233"/>
      <c r="HT44" s="233"/>
      <c r="HU44" s="233"/>
      <c r="HV44" s="233"/>
      <c r="HW44" s="233"/>
      <c r="HX44" s="233"/>
      <c r="HY44" s="233"/>
      <c r="HZ44" s="233"/>
      <c r="IA44" s="233"/>
      <c r="IB44" s="233"/>
      <c r="IC44" s="233"/>
      <c r="ID44" s="233"/>
      <c r="IE44" s="233"/>
      <c r="IF44" s="233"/>
      <c r="IG44" s="233"/>
      <c r="IH44" s="233"/>
      <c r="II44" s="233"/>
      <c r="IJ44" s="233"/>
      <c r="IK44" s="233"/>
      <c r="IL44" s="233"/>
      <c r="IM44" s="233"/>
      <c r="IN44" s="233"/>
      <c r="IO44" s="233"/>
      <c r="IP44" s="233"/>
      <c r="IQ44" s="233"/>
      <c r="IR44" s="233"/>
      <c r="IS44" s="233"/>
      <c r="IT44" s="233"/>
      <c r="IU44" s="233"/>
      <c r="IV44" s="233"/>
      <c r="IW44" s="233"/>
      <c r="IX44" s="233"/>
      <c r="IY44" s="233"/>
      <c r="IZ44" s="233"/>
      <c r="JA44" s="233"/>
      <c r="JB44" s="233"/>
      <c r="JC44" s="233"/>
      <c r="JD44" s="233"/>
      <c r="JE44" s="233"/>
      <c r="JF44" s="233"/>
      <c r="JG44" s="233"/>
      <c r="JH44" s="233"/>
      <c r="JI44" s="233"/>
      <c r="JJ44" s="233"/>
      <c r="JK44" s="233"/>
      <c r="JL44" s="233"/>
      <c r="JM44" s="233"/>
      <c r="JN44" s="233"/>
      <c r="JO44" s="233"/>
      <c r="JP44" s="233"/>
      <c r="JQ44" s="233"/>
      <c r="JR44" s="233"/>
      <c r="JS44" s="233"/>
      <c r="JT44" s="233"/>
      <c r="JU44" s="233"/>
      <c r="JV44" s="233"/>
      <c r="JW44" s="233"/>
      <c r="JX44" s="233"/>
      <c r="JY44" s="233"/>
      <c r="JZ44" s="233"/>
      <c r="KA44" s="233"/>
      <c r="KB44" s="233"/>
      <c r="KC44" s="233"/>
      <c r="KD44" s="233"/>
      <c r="KE44" s="233"/>
      <c r="KF44" s="233"/>
      <c r="KG44" s="233"/>
      <c r="KH44" s="233"/>
      <c r="KI44" s="233"/>
      <c r="KJ44" s="233"/>
      <c r="KK44" s="233"/>
      <c r="KL44" s="233"/>
      <c r="KM44" s="233"/>
      <c r="KN44" s="233"/>
      <c r="KO44" s="233"/>
      <c r="KP44" s="233"/>
      <c r="KQ44" s="233"/>
      <c r="KR44" s="233"/>
      <c r="KS44" s="233"/>
      <c r="KT44" s="233"/>
      <c r="KU44" s="233"/>
      <c r="KV44" s="233"/>
      <c r="KW44" s="233"/>
      <c r="KX44" s="233"/>
      <c r="KY44" s="233"/>
      <c r="KZ44" s="233"/>
      <c r="LA44" s="233"/>
      <c r="LB44" s="233"/>
      <c r="LC44" s="233"/>
      <c r="LD44" s="233"/>
      <c r="LE44" s="233"/>
      <c r="LF44" s="233"/>
      <c r="LG44" s="233"/>
      <c r="LH44" s="233"/>
      <c r="LI44" s="233"/>
      <c r="LJ44" s="233"/>
      <c r="LK44" s="233"/>
      <c r="LL44" s="233"/>
      <c r="LM44" s="233"/>
      <c r="LN44" s="233"/>
      <c r="LO44" s="233"/>
      <c r="LP44" s="233"/>
      <c r="LQ44" s="233"/>
      <c r="LR44" s="233"/>
      <c r="LS44" s="233"/>
      <c r="LT44" s="233"/>
      <c r="LU44" s="233"/>
      <c r="LV44" s="233"/>
      <c r="LW44" s="233"/>
      <c r="LX44" s="233"/>
      <c r="LY44" s="233"/>
      <c r="LZ44" s="233"/>
      <c r="MA44" s="233"/>
    </row>
    <row r="45" spans="1:339" s="47" customFormat="1" ht="60" hidden="1" customHeight="1" outlineLevel="1" x14ac:dyDescent="0.25">
      <c r="A45" s="50" t="s">
        <v>1304</v>
      </c>
      <c r="B45" s="50" t="s">
        <v>1382</v>
      </c>
      <c r="C45" s="50" t="s">
        <v>3126</v>
      </c>
      <c r="D45" s="50" t="s">
        <v>2287</v>
      </c>
      <c r="E45" s="164" t="s">
        <v>1388</v>
      </c>
      <c r="F45" s="113" t="s">
        <v>162</v>
      </c>
      <c r="G45" s="90" t="s">
        <v>1308</v>
      </c>
      <c r="H45" s="165">
        <v>292</v>
      </c>
      <c r="I45" s="15" t="s">
        <v>256</v>
      </c>
      <c r="J45" s="17">
        <f>IF(H45&gt;0,(H45*VLOOKUP(Lookups!$K$11,Lookups!$M$10:$P$43,4,0)/VLOOKUP(I45,Lookups!$M$10:$P$43,4,0)),"")</f>
        <v>347.5070705866454</v>
      </c>
      <c r="K45" s="165">
        <f t="shared" si="0"/>
        <v>3650</v>
      </c>
      <c r="L45" s="15" t="s">
        <v>256</v>
      </c>
      <c r="M45" s="17">
        <f>IF(K45&gt;0,(K45*VLOOKUP(Lookups!$K$11,Lookups!$M$10:$P$43,4,0)/VLOOKUP(L45,Lookups!$M$10:$P$43,4,0)),"")</f>
        <v>4343.8383823330678</v>
      </c>
      <c r="N45" s="165"/>
      <c r="O45" s="15"/>
      <c r="P45" s="17" t="str">
        <f>IF(N45&gt;0,(N45*VLOOKUP(Lookups!$K$11,Lookups!$M$10:$P$43,4,0)/VLOOKUP(O45,Lookups!$M$10:$P$43,4,0)),"")</f>
        <v/>
      </c>
      <c r="Q45" s="234" t="s">
        <v>1384</v>
      </c>
      <c r="R45" s="15" t="s">
        <v>152</v>
      </c>
      <c r="S45" s="174" t="s">
        <v>1385</v>
      </c>
      <c r="T45" s="15"/>
      <c r="U45" s="90"/>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S45" s="233"/>
      <c r="BT45" s="233"/>
      <c r="BU45" s="233"/>
      <c r="BV45" s="233"/>
      <c r="BW45" s="233"/>
      <c r="BX45" s="233"/>
      <c r="BY45" s="233"/>
      <c r="BZ45" s="233"/>
      <c r="CA45" s="233"/>
      <c r="CB45" s="233"/>
      <c r="CC45" s="233"/>
      <c r="CD45" s="233"/>
      <c r="CE45" s="233"/>
      <c r="CF45" s="233"/>
      <c r="CG45" s="233"/>
      <c r="CH45" s="233"/>
      <c r="CI45" s="233"/>
      <c r="CJ45" s="233"/>
      <c r="CK45" s="233"/>
      <c r="CL45" s="233"/>
      <c r="CM45" s="233"/>
      <c r="CN45" s="233"/>
      <c r="CO45" s="233"/>
      <c r="CP45" s="233"/>
      <c r="CQ45" s="233"/>
      <c r="CR45" s="233"/>
      <c r="CS45" s="233"/>
      <c r="CT45" s="233"/>
      <c r="CU45" s="233"/>
      <c r="CV45" s="233"/>
      <c r="CW45" s="233"/>
      <c r="CX45" s="233"/>
      <c r="CY45" s="233"/>
      <c r="CZ45" s="233"/>
      <c r="DA45" s="233"/>
      <c r="DB45" s="233"/>
      <c r="DC45" s="233"/>
      <c r="DD45" s="233"/>
      <c r="DE45" s="233"/>
      <c r="DF45" s="233"/>
      <c r="DG45" s="233"/>
      <c r="DH45" s="233"/>
      <c r="DI45" s="233"/>
      <c r="DJ45" s="233"/>
      <c r="DK45" s="233"/>
      <c r="DL45" s="233"/>
      <c r="DM45" s="233"/>
      <c r="DN45" s="233"/>
      <c r="DO45" s="233"/>
      <c r="DP45" s="233"/>
      <c r="DQ45" s="233"/>
      <c r="DR45" s="233"/>
      <c r="DS45" s="233"/>
      <c r="DT45" s="233"/>
      <c r="DU45" s="233"/>
      <c r="DV45" s="233"/>
      <c r="DW45" s="233"/>
      <c r="DX45" s="233"/>
      <c r="DY45" s="233"/>
      <c r="DZ45" s="233"/>
      <c r="EA45" s="233"/>
      <c r="EB45" s="233"/>
      <c r="EC45" s="233"/>
      <c r="ED45" s="233"/>
      <c r="EE45" s="233"/>
      <c r="EF45" s="233"/>
      <c r="EG45" s="233"/>
      <c r="EH45" s="233"/>
      <c r="EI45" s="233"/>
      <c r="EJ45" s="233"/>
      <c r="EK45" s="233"/>
      <c r="EL45" s="233"/>
      <c r="EM45" s="233"/>
      <c r="EN45" s="233"/>
      <c r="EO45" s="233"/>
      <c r="EP45" s="233"/>
      <c r="EQ45" s="233"/>
      <c r="ER45" s="233"/>
      <c r="ES45" s="233"/>
      <c r="ET45" s="233"/>
      <c r="EU45" s="233"/>
      <c r="EV45" s="233"/>
      <c r="EW45" s="233"/>
      <c r="EX45" s="233"/>
      <c r="EY45" s="233"/>
      <c r="EZ45" s="233"/>
      <c r="FA45" s="233"/>
      <c r="FB45" s="233"/>
      <c r="FC45" s="233"/>
      <c r="FD45" s="233"/>
      <c r="FE45" s="233"/>
      <c r="FF45" s="233"/>
      <c r="FG45" s="233"/>
      <c r="FH45" s="233"/>
      <c r="FI45" s="233"/>
      <c r="FJ45" s="233"/>
      <c r="FK45" s="233"/>
      <c r="FL45" s="233"/>
      <c r="FM45" s="233"/>
      <c r="FN45" s="233"/>
      <c r="FO45" s="233"/>
      <c r="FP45" s="233"/>
      <c r="FQ45" s="233"/>
      <c r="FR45" s="233"/>
      <c r="FS45" s="233"/>
      <c r="FT45" s="233"/>
      <c r="FU45" s="233"/>
      <c r="FV45" s="233"/>
      <c r="FW45" s="233"/>
      <c r="FX45" s="233"/>
      <c r="FY45" s="233"/>
      <c r="FZ45" s="233"/>
      <c r="GA45" s="233"/>
      <c r="GB45" s="233"/>
      <c r="GC45" s="233"/>
      <c r="GD45" s="233"/>
      <c r="GE45" s="233"/>
      <c r="GF45" s="233"/>
      <c r="GG45" s="233"/>
      <c r="GH45" s="233"/>
      <c r="GI45" s="233"/>
      <c r="GJ45" s="233"/>
      <c r="GK45" s="233"/>
      <c r="GL45" s="233"/>
      <c r="GM45" s="233"/>
      <c r="GN45" s="233"/>
      <c r="GO45" s="233"/>
      <c r="GP45" s="233"/>
      <c r="GQ45" s="233"/>
      <c r="GR45" s="233"/>
      <c r="GS45" s="233"/>
      <c r="GT45" s="233"/>
      <c r="GU45" s="233"/>
      <c r="GV45" s="233"/>
      <c r="GW45" s="233"/>
      <c r="GX45" s="233"/>
      <c r="GY45" s="233"/>
      <c r="GZ45" s="233"/>
      <c r="HA45" s="233"/>
      <c r="HB45" s="233"/>
      <c r="HC45" s="233"/>
      <c r="HD45" s="233"/>
      <c r="HE45" s="233"/>
      <c r="HF45" s="233"/>
      <c r="HG45" s="233"/>
      <c r="HH45" s="233"/>
      <c r="HI45" s="233"/>
      <c r="HJ45" s="233"/>
      <c r="HK45" s="233"/>
      <c r="HL45" s="233"/>
      <c r="HM45" s="233"/>
      <c r="HN45" s="233"/>
      <c r="HO45" s="233"/>
      <c r="HP45" s="233"/>
      <c r="HQ45" s="233"/>
      <c r="HR45" s="233"/>
      <c r="HS45" s="233"/>
      <c r="HT45" s="233"/>
      <c r="HU45" s="233"/>
      <c r="HV45" s="233"/>
      <c r="HW45" s="233"/>
      <c r="HX45" s="233"/>
      <c r="HY45" s="233"/>
      <c r="HZ45" s="233"/>
      <c r="IA45" s="233"/>
      <c r="IB45" s="233"/>
      <c r="IC45" s="233"/>
      <c r="ID45" s="233"/>
      <c r="IE45" s="233"/>
      <c r="IF45" s="233"/>
      <c r="IG45" s="233"/>
      <c r="IH45" s="233"/>
      <c r="II45" s="233"/>
      <c r="IJ45" s="233"/>
      <c r="IK45" s="233"/>
      <c r="IL45" s="233"/>
      <c r="IM45" s="233"/>
      <c r="IN45" s="233"/>
      <c r="IO45" s="233"/>
      <c r="IP45" s="233"/>
      <c r="IQ45" s="233"/>
      <c r="IR45" s="233"/>
      <c r="IS45" s="233"/>
      <c r="IT45" s="233"/>
      <c r="IU45" s="233"/>
      <c r="IV45" s="233"/>
      <c r="IW45" s="233"/>
      <c r="IX45" s="233"/>
      <c r="IY45" s="233"/>
      <c r="IZ45" s="233"/>
      <c r="JA45" s="233"/>
      <c r="JB45" s="233"/>
      <c r="JC45" s="233"/>
      <c r="JD45" s="233"/>
      <c r="JE45" s="233"/>
      <c r="JF45" s="233"/>
      <c r="JG45" s="233"/>
      <c r="JH45" s="233"/>
      <c r="JI45" s="233"/>
      <c r="JJ45" s="233"/>
      <c r="JK45" s="233"/>
      <c r="JL45" s="233"/>
      <c r="JM45" s="233"/>
      <c r="JN45" s="233"/>
      <c r="JO45" s="233"/>
      <c r="JP45" s="233"/>
      <c r="JQ45" s="233"/>
      <c r="JR45" s="233"/>
      <c r="JS45" s="233"/>
      <c r="JT45" s="233"/>
      <c r="JU45" s="233"/>
      <c r="JV45" s="233"/>
      <c r="JW45" s="233"/>
      <c r="JX45" s="233"/>
      <c r="JY45" s="233"/>
      <c r="JZ45" s="233"/>
      <c r="KA45" s="233"/>
      <c r="KB45" s="233"/>
      <c r="KC45" s="233"/>
      <c r="KD45" s="233"/>
      <c r="KE45" s="233"/>
      <c r="KF45" s="233"/>
      <c r="KG45" s="233"/>
      <c r="KH45" s="233"/>
      <c r="KI45" s="233"/>
      <c r="KJ45" s="233"/>
      <c r="KK45" s="233"/>
      <c r="KL45" s="233"/>
      <c r="KM45" s="233"/>
      <c r="KN45" s="233"/>
      <c r="KO45" s="233"/>
      <c r="KP45" s="233"/>
      <c r="KQ45" s="233"/>
      <c r="KR45" s="233"/>
      <c r="KS45" s="233"/>
      <c r="KT45" s="233"/>
      <c r="KU45" s="233"/>
      <c r="KV45" s="233"/>
      <c r="KW45" s="233"/>
      <c r="KX45" s="233"/>
      <c r="KY45" s="233"/>
      <c r="KZ45" s="233"/>
      <c r="LA45" s="233"/>
      <c r="LB45" s="233"/>
      <c r="LC45" s="233"/>
      <c r="LD45" s="233"/>
      <c r="LE45" s="233"/>
      <c r="LF45" s="233"/>
      <c r="LG45" s="233"/>
      <c r="LH45" s="233"/>
      <c r="LI45" s="233"/>
      <c r="LJ45" s="233"/>
      <c r="LK45" s="233"/>
      <c r="LL45" s="233"/>
      <c r="LM45" s="233"/>
      <c r="LN45" s="233"/>
      <c r="LO45" s="233"/>
      <c r="LP45" s="233"/>
      <c r="LQ45" s="233"/>
      <c r="LR45" s="233"/>
      <c r="LS45" s="233"/>
      <c r="LT45" s="233"/>
      <c r="LU45" s="233"/>
      <c r="LV45" s="233"/>
      <c r="LW45" s="233"/>
      <c r="LX45" s="233"/>
      <c r="LY45" s="233"/>
      <c r="LZ45" s="233"/>
      <c r="MA45" s="233"/>
    </row>
    <row r="46" spans="1:339" s="47" customFormat="1" ht="60" customHeight="1" collapsed="1" x14ac:dyDescent="0.25">
      <c r="A46" s="40" t="s">
        <v>1304</v>
      </c>
      <c r="B46" s="40" t="s">
        <v>1394</v>
      </c>
      <c r="C46" s="48" t="s">
        <v>1401</v>
      </c>
      <c r="D46" s="40" t="s">
        <v>1398</v>
      </c>
      <c r="E46" s="164" t="s">
        <v>1396</v>
      </c>
      <c r="F46" s="90" t="s">
        <v>243</v>
      </c>
      <c r="G46" s="90"/>
      <c r="I46" s="15"/>
      <c r="J46" s="17" t="str">
        <f>IF(H46&gt;0,(H46*VLOOKUP(Lookups!$K$11,Lookups!$M$10:$P$43,4,0)/VLOOKUP(I46,Lookups!$M$10:$P$43,4,0)),"")</f>
        <v/>
      </c>
      <c r="K46" s="165">
        <v>95</v>
      </c>
      <c r="L46" s="15" t="s">
        <v>257</v>
      </c>
      <c r="M46" s="17">
        <f>IF(K46&gt;0,(K46*VLOOKUP(Lookups!$K$11,Lookups!$M$10:$P$43,4,0)/VLOOKUP(L46,Lookups!$M$10:$P$43,4,0)),"")</f>
        <v>112.36175919151641</v>
      </c>
      <c r="N46" s="165"/>
      <c r="O46" s="15"/>
      <c r="P46" s="17" t="str">
        <f>IF(N46&gt;0,(N46*VLOOKUP(Lookups!$K$11,Lookups!$M$10:$P$43,4,0)/VLOOKUP(O46,Lookups!$M$10:$P$43,4,0)),"")</f>
        <v/>
      </c>
      <c r="Q46" s="234" t="s">
        <v>1399</v>
      </c>
      <c r="R46" s="15" t="s">
        <v>152</v>
      </c>
      <c r="S46" s="174" t="s">
        <v>1403</v>
      </c>
      <c r="T46" s="15"/>
      <c r="U46" s="90"/>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3"/>
      <c r="BY46" s="233"/>
      <c r="BZ46" s="233"/>
      <c r="CA46" s="233"/>
      <c r="CB46" s="233"/>
      <c r="CC46" s="233"/>
      <c r="CD46" s="233"/>
      <c r="CE46" s="233"/>
      <c r="CF46" s="233"/>
      <c r="CG46" s="233"/>
      <c r="CH46" s="233"/>
      <c r="CI46" s="233"/>
      <c r="CJ46" s="233"/>
      <c r="CK46" s="233"/>
      <c r="CL46" s="233"/>
      <c r="CM46" s="233"/>
      <c r="CN46" s="233"/>
      <c r="CO46" s="233"/>
      <c r="CP46" s="233"/>
      <c r="CQ46" s="233"/>
      <c r="CR46" s="233"/>
      <c r="CS46" s="233"/>
      <c r="CT46" s="233"/>
      <c r="CU46" s="233"/>
      <c r="CV46" s="233"/>
      <c r="CW46" s="233"/>
      <c r="CX46" s="233"/>
      <c r="CY46" s="233"/>
      <c r="CZ46" s="233"/>
      <c r="DA46" s="233"/>
      <c r="DB46" s="233"/>
      <c r="DC46" s="233"/>
      <c r="DD46" s="233"/>
      <c r="DE46" s="233"/>
      <c r="DF46" s="233"/>
      <c r="DG46" s="233"/>
      <c r="DH46" s="233"/>
      <c r="DI46" s="233"/>
      <c r="DJ46" s="233"/>
      <c r="DK46" s="233"/>
      <c r="DL46" s="233"/>
      <c r="DM46" s="233"/>
      <c r="DN46" s="233"/>
      <c r="DO46" s="233"/>
      <c r="DP46" s="233"/>
      <c r="DQ46" s="233"/>
      <c r="DR46" s="233"/>
      <c r="DS46" s="233"/>
      <c r="DT46" s="233"/>
      <c r="DU46" s="233"/>
      <c r="DV46" s="233"/>
      <c r="DW46" s="233"/>
      <c r="DX46" s="233"/>
      <c r="DY46" s="233"/>
      <c r="DZ46" s="233"/>
      <c r="EA46" s="233"/>
      <c r="EB46" s="233"/>
      <c r="EC46" s="233"/>
      <c r="ED46" s="233"/>
      <c r="EE46" s="233"/>
      <c r="EF46" s="233"/>
      <c r="EG46" s="233"/>
      <c r="EH46" s="233"/>
      <c r="EI46" s="233"/>
      <c r="EJ46" s="233"/>
      <c r="EK46" s="233"/>
      <c r="EL46" s="233"/>
      <c r="EM46" s="233"/>
      <c r="EN46" s="233"/>
      <c r="EO46" s="233"/>
      <c r="EP46" s="233"/>
      <c r="EQ46" s="233"/>
      <c r="ER46" s="233"/>
      <c r="ES46" s="233"/>
      <c r="ET46" s="233"/>
      <c r="EU46" s="233"/>
      <c r="EV46" s="233"/>
      <c r="EW46" s="233"/>
      <c r="EX46" s="233"/>
      <c r="EY46" s="233"/>
      <c r="EZ46" s="233"/>
      <c r="FA46" s="233"/>
      <c r="FB46" s="233"/>
      <c r="FC46" s="233"/>
      <c r="FD46" s="233"/>
      <c r="FE46" s="233"/>
      <c r="FF46" s="233"/>
      <c r="FG46" s="233"/>
      <c r="FH46" s="233"/>
      <c r="FI46" s="233"/>
      <c r="FJ46" s="233"/>
      <c r="FK46" s="233"/>
      <c r="FL46" s="233"/>
      <c r="FM46" s="233"/>
      <c r="FN46" s="233"/>
      <c r="FO46" s="233"/>
      <c r="FP46" s="233"/>
      <c r="FQ46" s="233"/>
      <c r="FR46" s="233"/>
      <c r="FS46" s="233"/>
      <c r="FT46" s="233"/>
      <c r="FU46" s="233"/>
      <c r="FV46" s="233"/>
      <c r="FW46" s="233"/>
      <c r="FX46" s="233"/>
      <c r="FY46" s="233"/>
      <c r="FZ46" s="233"/>
      <c r="GA46" s="233"/>
      <c r="GB46" s="233"/>
      <c r="GC46" s="233"/>
      <c r="GD46" s="233"/>
      <c r="GE46" s="233"/>
      <c r="GF46" s="233"/>
      <c r="GG46" s="233"/>
      <c r="GH46" s="233"/>
      <c r="GI46" s="233"/>
      <c r="GJ46" s="233"/>
      <c r="GK46" s="233"/>
      <c r="GL46" s="233"/>
      <c r="GM46" s="233"/>
      <c r="GN46" s="233"/>
      <c r="GO46" s="233"/>
      <c r="GP46" s="233"/>
      <c r="GQ46" s="233"/>
      <c r="GR46" s="233"/>
      <c r="GS46" s="233"/>
      <c r="GT46" s="233"/>
      <c r="GU46" s="233"/>
      <c r="GV46" s="233"/>
      <c r="GW46" s="233"/>
      <c r="GX46" s="233"/>
      <c r="GY46" s="233"/>
      <c r="GZ46" s="233"/>
      <c r="HA46" s="233"/>
      <c r="HB46" s="233"/>
      <c r="HC46" s="233"/>
      <c r="HD46" s="233"/>
      <c r="HE46" s="233"/>
      <c r="HF46" s="233"/>
      <c r="HG46" s="233"/>
      <c r="HH46" s="233"/>
      <c r="HI46" s="233"/>
      <c r="HJ46" s="233"/>
      <c r="HK46" s="233"/>
      <c r="HL46" s="233"/>
      <c r="HM46" s="233"/>
      <c r="HN46" s="233"/>
      <c r="HO46" s="233"/>
      <c r="HP46" s="233"/>
      <c r="HQ46" s="233"/>
      <c r="HR46" s="233"/>
      <c r="HS46" s="233"/>
      <c r="HT46" s="233"/>
      <c r="HU46" s="233"/>
      <c r="HV46" s="233"/>
      <c r="HW46" s="233"/>
      <c r="HX46" s="233"/>
      <c r="HY46" s="233"/>
      <c r="HZ46" s="233"/>
      <c r="IA46" s="233"/>
      <c r="IB46" s="233"/>
      <c r="IC46" s="233"/>
      <c r="ID46" s="233"/>
      <c r="IE46" s="233"/>
      <c r="IF46" s="233"/>
      <c r="IG46" s="233"/>
      <c r="IH46" s="233"/>
      <c r="II46" s="233"/>
      <c r="IJ46" s="233"/>
      <c r="IK46" s="233"/>
      <c r="IL46" s="233"/>
      <c r="IM46" s="233"/>
      <c r="IN46" s="233"/>
      <c r="IO46" s="233"/>
      <c r="IP46" s="233"/>
      <c r="IQ46" s="233"/>
      <c r="IR46" s="233"/>
      <c r="IS46" s="233"/>
      <c r="IT46" s="233"/>
      <c r="IU46" s="233"/>
      <c r="IV46" s="233"/>
      <c r="IW46" s="233"/>
      <c r="IX46" s="233"/>
      <c r="IY46" s="233"/>
      <c r="IZ46" s="233"/>
      <c r="JA46" s="233"/>
      <c r="JB46" s="233"/>
      <c r="JC46" s="233"/>
      <c r="JD46" s="233"/>
      <c r="JE46" s="233"/>
      <c r="JF46" s="233"/>
      <c r="JG46" s="233"/>
      <c r="JH46" s="233"/>
      <c r="JI46" s="233"/>
      <c r="JJ46" s="233"/>
      <c r="JK46" s="233"/>
      <c r="JL46" s="233"/>
      <c r="JM46" s="233"/>
      <c r="JN46" s="233"/>
      <c r="JO46" s="233"/>
      <c r="JP46" s="233"/>
      <c r="JQ46" s="233"/>
      <c r="JR46" s="233"/>
      <c r="JS46" s="233"/>
      <c r="JT46" s="233"/>
      <c r="JU46" s="233"/>
      <c r="JV46" s="233"/>
      <c r="JW46" s="233"/>
      <c r="JX46" s="233"/>
      <c r="JY46" s="233"/>
      <c r="JZ46" s="233"/>
      <c r="KA46" s="233"/>
      <c r="KB46" s="233"/>
      <c r="KC46" s="233"/>
      <c r="KD46" s="233"/>
      <c r="KE46" s="233"/>
      <c r="KF46" s="233"/>
      <c r="KG46" s="233"/>
      <c r="KH46" s="233"/>
      <c r="KI46" s="233"/>
      <c r="KJ46" s="233"/>
      <c r="KK46" s="233"/>
      <c r="KL46" s="233"/>
      <c r="KM46" s="233"/>
      <c r="KN46" s="233"/>
      <c r="KO46" s="233"/>
      <c r="KP46" s="233"/>
      <c r="KQ46" s="233"/>
      <c r="KR46" s="233"/>
      <c r="KS46" s="233"/>
      <c r="KT46" s="233"/>
      <c r="KU46" s="233"/>
      <c r="KV46" s="233"/>
      <c r="KW46" s="233"/>
      <c r="KX46" s="233"/>
      <c r="KY46" s="233"/>
      <c r="KZ46" s="233"/>
      <c r="LA46" s="233"/>
      <c r="LB46" s="233"/>
      <c r="LC46" s="233"/>
      <c r="LD46" s="233"/>
      <c r="LE46" s="233"/>
      <c r="LF46" s="233"/>
      <c r="LG46" s="233"/>
      <c r="LH46" s="233"/>
      <c r="LI46" s="233"/>
      <c r="LJ46" s="233"/>
      <c r="LK46" s="233"/>
      <c r="LL46" s="233"/>
      <c r="LM46" s="233"/>
      <c r="LN46" s="233"/>
      <c r="LO46" s="233"/>
      <c r="LP46" s="233"/>
      <c r="LQ46" s="233"/>
      <c r="LR46" s="233"/>
      <c r="LS46" s="233"/>
      <c r="LT46" s="233"/>
      <c r="LU46" s="233"/>
      <c r="LV46" s="233"/>
      <c r="LW46" s="233"/>
      <c r="LX46" s="233"/>
      <c r="LY46" s="233"/>
      <c r="LZ46" s="233"/>
      <c r="MA46" s="233"/>
    </row>
    <row r="47" spans="1:339" s="47" customFormat="1" ht="60" hidden="1" customHeight="1" outlineLevel="1" x14ac:dyDescent="0.25">
      <c r="A47" s="50" t="s">
        <v>1304</v>
      </c>
      <c r="B47" s="50" t="s">
        <v>1394</v>
      </c>
      <c r="C47" s="50" t="s">
        <v>1499</v>
      </c>
      <c r="D47" s="50" t="s">
        <v>1411</v>
      </c>
      <c r="E47" s="164" t="s">
        <v>1410</v>
      </c>
      <c r="F47" s="90" t="s">
        <v>243</v>
      </c>
      <c r="G47" s="90"/>
      <c r="H47" s="165"/>
      <c r="I47" s="15"/>
      <c r="J47" s="17" t="str">
        <f>IF(H47&gt;0,(H47*VLOOKUP(Lookups!$K$11,Lookups!$M$10:$P$43,4,0)/VLOOKUP(I47,Lookups!$M$10:$P$43,4,0)),"")</f>
        <v/>
      </c>
      <c r="K47" s="193">
        <f>2300*K14</f>
        <v>45.028747963710991</v>
      </c>
      <c r="L47" s="15" t="s">
        <v>260</v>
      </c>
      <c r="M47" s="17">
        <f>IF(K47&gt;0,(K47*VLOOKUP(Lookups!$K$11,Lookups!$M$10:$P$43,4,0)/VLOOKUP(L47,Lookups!$M$10:$P$43,4,0)),"")</f>
        <v>50.230663794566674</v>
      </c>
      <c r="N47" s="168"/>
      <c r="O47" s="15"/>
      <c r="P47" s="17" t="str">
        <f>IF(N47&gt;0,(N47*VLOOKUP(Lookups!$K$11,Lookups!$M$10:$P$43,4,0)/VLOOKUP(O47,Lookups!$M$10:$P$43,4,0)),"")</f>
        <v/>
      </c>
      <c r="Q47" s="234" t="s">
        <v>2376</v>
      </c>
      <c r="R47" s="15" t="s">
        <v>154</v>
      </c>
      <c r="S47" s="174" t="s">
        <v>2361</v>
      </c>
      <c r="T47" s="15" t="s">
        <v>923</v>
      </c>
      <c r="U47" s="90" t="s">
        <v>2281</v>
      </c>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c r="BW47" s="233"/>
      <c r="BX47" s="233"/>
      <c r="BY47" s="233"/>
      <c r="BZ47" s="233"/>
      <c r="CA47" s="233"/>
      <c r="CB47" s="233"/>
      <c r="CC47" s="233"/>
      <c r="CD47" s="233"/>
      <c r="CE47" s="233"/>
      <c r="CF47" s="233"/>
      <c r="CG47" s="233"/>
      <c r="CH47" s="233"/>
      <c r="CI47" s="233"/>
      <c r="CJ47" s="233"/>
      <c r="CK47" s="233"/>
      <c r="CL47" s="233"/>
      <c r="CM47" s="233"/>
      <c r="CN47" s="233"/>
      <c r="CO47" s="233"/>
      <c r="CP47" s="233"/>
      <c r="CQ47" s="233"/>
      <c r="CR47" s="233"/>
      <c r="CS47" s="233"/>
      <c r="CT47" s="233"/>
      <c r="CU47" s="233"/>
      <c r="CV47" s="233"/>
      <c r="CW47" s="233"/>
      <c r="CX47" s="233"/>
      <c r="CY47" s="233"/>
      <c r="CZ47" s="233"/>
      <c r="DA47" s="233"/>
      <c r="DB47" s="233"/>
      <c r="DC47" s="233"/>
      <c r="DD47" s="233"/>
      <c r="DE47" s="233"/>
      <c r="DF47" s="233"/>
      <c r="DG47" s="233"/>
      <c r="DH47" s="233"/>
      <c r="DI47" s="233"/>
      <c r="DJ47" s="233"/>
      <c r="DK47" s="233"/>
      <c r="DL47" s="233"/>
      <c r="DM47" s="233"/>
      <c r="DN47" s="233"/>
      <c r="DO47" s="233"/>
      <c r="DP47" s="233"/>
      <c r="DQ47" s="233"/>
      <c r="DR47" s="233"/>
      <c r="DS47" s="233"/>
      <c r="DT47" s="233"/>
      <c r="DU47" s="233"/>
      <c r="DV47" s="233"/>
      <c r="DW47" s="233"/>
      <c r="DX47" s="233"/>
      <c r="DY47" s="233"/>
      <c r="DZ47" s="233"/>
      <c r="EA47" s="233"/>
      <c r="EB47" s="233"/>
      <c r="EC47" s="233"/>
      <c r="ED47" s="233"/>
      <c r="EE47" s="233"/>
      <c r="EF47" s="233"/>
      <c r="EG47" s="233"/>
      <c r="EH47" s="233"/>
      <c r="EI47" s="233"/>
      <c r="EJ47" s="233"/>
      <c r="EK47" s="233"/>
      <c r="EL47" s="233"/>
      <c r="EM47" s="233"/>
      <c r="EN47" s="233"/>
      <c r="EO47" s="233"/>
      <c r="EP47" s="233"/>
      <c r="EQ47" s="233"/>
      <c r="ER47" s="233"/>
      <c r="ES47" s="233"/>
      <c r="ET47" s="233"/>
      <c r="EU47" s="233"/>
      <c r="EV47" s="233"/>
      <c r="EW47" s="233"/>
      <c r="EX47" s="233"/>
      <c r="EY47" s="233"/>
      <c r="EZ47" s="233"/>
      <c r="FA47" s="233"/>
      <c r="FB47" s="233"/>
      <c r="FC47" s="233"/>
      <c r="FD47" s="233"/>
      <c r="FE47" s="233"/>
      <c r="FF47" s="233"/>
      <c r="FG47" s="233"/>
      <c r="FH47" s="233"/>
      <c r="FI47" s="233"/>
      <c r="FJ47" s="233"/>
      <c r="FK47" s="233"/>
      <c r="FL47" s="233"/>
      <c r="FM47" s="233"/>
      <c r="FN47" s="233"/>
      <c r="FO47" s="233"/>
      <c r="FP47" s="233"/>
      <c r="FQ47" s="233"/>
      <c r="FR47" s="233"/>
      <c r="FS47" s="233"/>
      <c r="FT47" s="233"/>
      <c r="FU47" s="233"/>
      <c r="FV47" s="233"/>
      <c r="FW47" s="233"/>
      <c r="FX47" s="233"/>
      <c r="FY47" s="233"/>
      <c r="FZ47" s="233"/>
      <c r="GA47" s="233"/>
      <c r="GB47" s="233"/>
      <c r="GC47" s="233"/>
      <c r="GD47" s="233"/>
      <c r="GE47" s="233"/>
      <c r="GF47" s="233"/>
      <c r="GG47" s="233"/>
      <c r="GH47" s="233"/>
      <c r="GI47" s="233"/>
      <c r="GJ47" s="233"/>
      <c r="GK47" s="233"/>
      <c r="GL47" s="233"/>
      <c r="GM47" s="233"/>
      <c r="GN47" s="233"/>
      <c r="GO47" s="233"/>
      <c r="GP47" s="233"/>
      <c r="GQ47" s="233"/>
      <c r="GR47" s="233"/>
      <c r="GS47" s="233"/>
      <c r="GT47" s="233"/>
      <c r="GU47" s="233"/>
      <c r="GV47" s="233"/>
      <c r="GW47" s="233"/>
      <c r="GX47" s="233"/>
      <c r="GY47" s="233"/>
      <c r="GZ47" s="233"/>
      <c r="HA47" s="233"/>
      <c r="HB47" s="233"/>
      <c r="HC47" s="233"/>
      <c r="HD47" s="233"/>
      <c r="HE47" s="233"/>
      <c r="HF47" s="233"/>
      <c r="HG47" s="233"/>
      <c r="HH47" s="233"/>
      <c r="HI47" s="233"/>
      <c r="HJ47" s="233"/>
      <c r="HK47" s="233"/>
      <c r="HL47" s="233"/>
      <c r="HM47" s="233"/>
      <c r="HN47" s="233"/>
      <c r="HO47" s="233"/>
      <c r="HP47" s="233"/>
      <c r="HQ47" s="233"/>
      <c r="HR47" s="233"/>
      <c r="HS47" s="233"/>
      <c r="HT47" s="233"/>
      <c r="HU47" s="233"/>
      <c r="HV47" s="233"/>
      <c r="HW47" s="233"/>
      <c r="HX47" s="233"/>
      <c r="HY47" s="233"/>
      <c r="HZ47" s="233"/>
      <c r="IA47" s="233"/>
      <c r="IB47" s="233"/>
      <c r="IC47" s="233"/>
      <c r="ID47" s="233"/>
      <c r="IE47" s="233"/>
      <c r="IF47" s="233"/>
      <c r="IG47" s="233"/>
      <c r="IH47" s="233"/>
      <c r="II47" s="233"/>
      <c r="IJ47" s="233"/>
      <c r="IK47" s="233"/>
      <c r="IL47" s="233"/>
      <c r="IM47" s="233"/>
      <c r="IN47" s="233"/>
      <c r="IO47" s="233"/>
      <c r="IP47" s="233"/>
      <c r="IQ47" s="233"/>
      <c r="IR47" s="233"/>
      <c r="IS47" s="233"/>
      <c r="IT47" s="233"/>
      <c r="IU47" s="233"/>
      <c r="IV47" s="233"/>
      <c r="IW47" s="233"/>
      <c r="IX47" s="233"/>
      <c r="IY47" s="233"/>
      <c r="IZ47" s="233"/>
      <c r="JA47" s="233"/>
      <c r="JB47" s="233"/>
      <c r="JC47" s="233"/>
      <c r="JD47" s="233"/>
      <c r="JE47" s="233"/>
      <c r="JF47" s="233"/>
      <c r="JG47" s="233"/>
      <c r="JH47" s="233"/>
      <c r="JI47" s="233"/>
      <c r="JJ47" s="233"/>
      <c r="JK47" s="233"/>
      <c r="JL47" s="233"/>
      <c r="JM47" s="233"/>
      <c r="JN47" s="233"/>
      <c r="JO47" s="233"/>
      <c r="JP47" s="233"/>
      <c r="JQ47" s="233"/>
      <c r="JR47" s="233"/>
      <c r="JS47" s="233"/>
      <c r="JT47" s="233"/>
      <c r="JU47" s="233"/>
      <c r="JV47" s="233"/>
      <c r="JW47" s="233"/>
      <c r="JX47" s="233"/>
      <c r="JY47" s="233"/>
      <c r="JZ47" s="233"/>
      <c r="KA47" s="233"/>
      <c r="KB47" s="233"/>
      <c r="KC47" s="233"/>
      <c r="KD47" s="233"/>
      <c r="KE47" s="233"/>
      <c r="KF47" s="233"/>
      <c r="KG47" s="233"/>
      <c r="KH47" s="233"/>
      <c r="KI47" s="233"/>
      <c r="KJ47" s="233"/>
      <c r="KK47" s="233"/>
      <c r="KL47" s="233"/>
      <c r="KM47" s="233"/>
      <c r="KN47" s="233"/>
      <c r="KO47" s="233"/>
      <c r="KP47" s="233"/>
      <c r="KQ47" s="233"/>
      <c r="KR47" s="233"/>
      <c r="KS47" s="233"/>
      <c r="KT47" s="233"/>
      <c r="KU47" s="233"/>
      <c r="KV47" s="233"/>
      <c r="KW47" s="233"/>
      <c r="KX47" s="233"/>
      <c r="KY47" s="233"/>
      <c r="KZ47" s="233"/>
      <c r="LA47" s="233"/>
      <c r="LB47" s="233"/>
      <c r="LC47" s="233"/>
      <c r="LD47" s="233"/>
      <c r="LE47" s="233"/>
      <c r="LF47" s="233"/>
      <c r="LG47" s="233"/>
      <c r="LH47" s="233"/>
      <c r="LI47" s="233"/>
      <c r="LJ47" s="233"/>
      <c r="LK47" s="233"/>
      <c r="LL47" s="233"/>
      <c r="LM47" s="233"/>
      <c r="LN47" s="233"/>
      <c r="LO47" s="233"/>
      <c r="LP47" s="233"/>
      <c r="LQ47" s="233"/>
      <c r="LR47" s="233"/>
      <c r="LS47" s="233"/>
      <c r="LT47" s="233"/>
      <c r="LU47" s="233"/>
      <c r="LV47" s="233"/>
      <c r="LW47" s="233"/>
      <c r="LX47" s="233"/>
      <c r="LY47" s="233"/>
      <c r="LZ47" s="233"/>
      <c r="MA47" s="233"/>
    </row>
    <row r="48" spans="1:339" s="47" customFormat="1" ht="60" hidden="1" customHeight="1" outlineLevel="1" x14ac:dyDescent="0.25">
      <c r="A48" s="50" t="s">
        <v>1304</v>
      </c>
      <c r="B48" s="50" t="s">
        <v>1394</v>
      </c>
      <c r="C48" s="50" t="s">
        <v>1500</v>
      </c>
      <c r="D48" s="50" t="s">
        <v>1412</v>
      </c>
      <c r="E48" s="164" t="s">
        <v>1410</v>
      </c>
      <c r="F48" s="90" t="s">
        <v>243</v>
      </c>
      <c r="G48" s="90"/>
      <c r="H48" s="165"/>
      <c r="I48" s="15"/>
      <c r="J48" s="17" t="str">
        <f>IF(H48&gt;0,(H48*VLOOKUP(Lookups!$K$11,Lookups!$M$10:$P$43,4,0)/VLOOKUP(I48,Lookups!$M$10:$P$43,4,0)),"")</f>
        <v/>
      </c>
      <c r="K48" s="200">
        <f>2300*K17</f>
        <v>104.67980799999999</v>
      </c>
      <c r="L48" s="15" t="s">
        <v>260</v>
      </c>
      <c r="M48" s="111">
        <f>IF(K48&gt;0,(K48*VLOOKUP(Lookups!$K$11,Lookups!$M$10:$P$43,4,0)/VLOOKUP(L48,Lookups!$M$10:$P$43,4,0)),"")</f>
        <v>116.77287243174879</v>
      </c>
      <c r="N48" s="168">
        <f>2300*N18</f>
        <v>3.6761724464908276</v>
      </c>
      <c r="O48" s="15" t="s">
        <v>260</v>
      </c>
      <c r="P48" s="111">
        <f>IF(N48&gt;0,(N48*VLOOKUP(Lookups!$K$11,Lookups!$M$10:$P$43,4,0)/VLOOKUP(O48,Lookups!$M$10:$P$43,4,0)),"")</f>
        <v>4.1008597964870477</v>
      </c>
      <c r="Q48" s="234" t="s">
        <v>2376</v>
      </c>
      <c r="R48" s="15" t="s">
        <v>154</v>
      </c>
      <c r="S48" s="174" t="s">
        <v>2377</v>
      </c>
      <c r="T48" s="15" t="s">
        <v>923</v>
      </c>
      <c r="U48" s="90" t="s">
        <v>2281</v>
      </c>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3"/>
      <c r="BR48" s="233"/>
      <c r="BS48" s="233"/>
      <c r="BT48" s="233"/>
      <c r="BU48" s="233"/>
      <c r="BV48" s="233"/>
      <c r="BW48" s="233"/>
      <c r="BX48" s="233"/>
      <c r="BY48" s="233"/>
      <c r="BZ48" s="233"/>
      <c r="CA48" s="233"/>
      <c r="CB48" s="233"/>
      <c r="CC48" s="233"/>
      <c r="CD48" s="233"/>
      <c r="CE48" s="233"/>
      <c r="CF48" s="233"/>
      <c r="CG48" s="233"/>
      <c r="CH48" s="233"/>
      <c r="CI48" s="233"/>
      <c r="CJ48" s="233"/>
      <c r="CK48" s="233"/>
      <c r="CL48" s="233"/>
      <c r="CM48" s="233"/>
      <c r="CN48" s="233"/>
      <c r="CO48" s="233"/>
      <c r="CP48" s="233"/>
      <c r="CQ48" s="233"/>
      <c r="CR48" s="233"/>
      <c r="CS48" s="233"/>
      <c r="CT48" s="233"/>
      <c r="CU48" s="233"/>
      <c r="CV48" s="233"/>
      <c r="CW48" s="233"/>
      <c r="CX48" s="233"/>
      <c r="CY48" s="233"/>
      <c r="CZ48" s="233"/>
      <c r="DA48" s="233"/>
      <c r="DB48" s="233"/>
      <c r="DC48" s="233"/>
      <c r="DD48" s="233"/>
      <c r="DE48" s="233"/>
      <c r="DF48" s="233"/>
      <c r="DG48" s="233"/>
      <c r="DH48" s="233"/>
      <c r="DI48" s="233"/>
      <c r="DJ48" s="233"/>
      <c r="DK48" s="233"/>
      <c r="DL48" s="233"/>
      <c r="DM48" s="233"/>
      <c r="DN48" s="233"/>
      <c r="DO48" s="233"/>
      <c r="DP48" s="233"/>
      <c r="DQ48" s="233"/>
      <c r="DR48" s="233"/>
      <c r="DS48" s="233"/>
      <c r="DT48" s="233"/>
      <c r="DU48" s="233"/>
      <c r="DV48" s="233"/>
      <c r="DW48" s="233"/>
      <c r="DX48" s="233"/>
      <c r="DY48" s="233"/>
      <c r="DZ48" s="233"/>
      <c r="EA48" s="233"/>
      <c r="EB48" s="233"/>
      <c r="EC48" s="233"/>
      <c r="ED48" s="233"/>
      <c r="EE48" s="233"/>
      <c r="EF48" s="233"/>
      <c r="EG48" s="233"/>
      <c r="EH48" s="233"/>
      <c r="EI48" s="233"/>
      <c r="EJ48" s="233"/>
      <c r="EK48" s="233"/>
      <c r="EL48" s="233"/>
      <c r="EM48" s="233"/>
      <c r="EN48" s="233"/>
      <c r="EO48" s="233"/>
      <c r="EP48" s="233"/>
      <c r="EQ48" s="233"/>
      <c r="ER48" s="233"/>
      <c r="ES48" s="233"/>
      <c r="ET48" s="233"/>
      <c r="EU48" s="233"/>
      <c r="EV48" s="233"/>
      <c r="EW48" s="233"/>
      <c r="EX48" s="233"/>
      <c r="EY48" s="233"/>
      <c r="EZ48" s="233"/>
      <c r="FA48" s="233"/>
      <c r="FB48" s="233"/>
      <c r="FC48" s="233"/>
      <c r="FD48" s="233"/>
      <c r="FE48" s="233"/>
      <c r="FF48" s="233"/>
      <c r="FG48" s="233"/>
      <c r="FH48" s="233"/>
      <c r="FI48" s="233"/>
      <c r="FJ48" s="233"/>
      <c r="FK48" s="233"/>
      <c r="FL48" s="233"/>
      <c r="FM48" s="233"/>
      <c r="FN48" s="233"/>
      <c r="FO48" s="233"/>
      <c r="FP48" s="233"/>
      <c r="FQ48" s="233"/>
      <c r="FR48" s="233"/>
      <c r="FS48" s="233"/>
      <c r="FT48" s="233"/>
      <c r="FU48" s="233"/>
      <c r="FV48" s="233"/>
      <c r="FW48" s="233"/>
      <c r="FX48" s="233"/>
      <c r="FY48" s="233"/>
      <c r="FZ48" s="233"/>
      <c r="GA48" s="233"/>
      <c r="GB48" s="233"/>
      <c r="GC48" s="233"/>
      <c r="GD48" s="233"/>
      <c r="GE48" s="233"/>
      <c r="GF48" s="233"/>
      <c r="GG48" s="233"/>
      <c r="GH48" s="233"/>
      <c r="GI48" s="233"/>
      <c r="GJ48" s="233"/>
      <c r="GK48" s="233"/>
      <c r="GL48" s="233"/>
      <c r="GM48" s="233"/>
      <c r="GN48" s="233"/>
      <c r="GO48" s="233"/>
      <c r="GP48" s="233"/>
      <c r="GQ48" s="233"/>
      <c r="GR48" s="233"/>
      <c r="GS48" s="233"/>
      <c r="GT48" s="233"/>
      <c r="GU48" s="233"/>
      <c r="GV48" s="233"/>
      <c r="GW48" s="233"/>
      <c r="GX48" s="233"/>
      <c r="GY48" s="233"/>
      <c r="GZ48" s="233"/>
      <c r="HA48" s="233"/>
      <c r="HB48" s="233"/>
      <c r="HC48" s="233"/>
      <c r="HD48" s="233"/>
      <c r="HE48" s="233"/>
      <c r="HF48" s="233"/>
      <c r="HG48" s="233"/>
      <c r="HH48" s="233"/>
      <c r="HI48" s="233"/>
      <c r="HJ48" s="233"/>
      <c r="HK48" s="233"/>
      <c r="HL48" s="233"/>
      <c r="HM48" s="233"/>
      <c r="HN48" s="233"/>
      <c r="HO48" s="233"/>
      <c r="HP48" s="233"/>
      <c r="HQ48" s="233"/>
      <c r="HR48" s="233"/>
      <c r="HS48" s="233"/>
      <c r="HT48" s="233"/>
      <c r="HU48" s="233"/>
      <c r="HV48" s="233"/>
      <c r="HW48" s="233"/>
      <c r="HX48" s="233"/>
      <c r="HY48" s="233"/>
      <c r="HZ48" s="233"/>
      <c r="IA48" s="233"/>
      <c r="IB48" s="233"/>
      <c r="IC48" s="233"/>
      <c r="ID48" s="233"/>
      <c r="IE48" s="233"/>
      <c r="IF48" s="233"/>
      <c r="IG48" s="233"/>
      <c r="IH48" s="233"/>
      <c r="II48" s="233"/>
      <c r="IJ48" s="233"/>
      <c r="IK48" s="233"/>
      <c r="IL48" s="233"/>
      <c r="IM48" s="233"/>
      <c r="IN48" s="233"/>
      <c r="IO48" s="233"/>
      <c r="IP48" s="233"/>
      <c r="IQ48" s="233"/>
      <c r="IR48" s="233"/>
      <c r="IS48" s="233"/>
      <c r="IT48" s="233"/>
      <c r="IU48" s="233"/>
      <c r="IV48" s="233"/>
      <c r="IW48" s="233"/>
      <c r="IX48" s="233"/>
      <c r="IY48" s="233"/>
      <c r="IZ48" s="233"/>
      <c r="JA48" s="233"/>
      <c r="JB48" s="233"/>
      <c r="JC48" s="233"/>
      <c r="JD48" s="233"/>
      <c r="JE48" s="233"/>
      <c r="JF48" s="233"/>
      <c r="JG48" s="233"/>
      <c r="JH48" s="233"/>
      <c r="JI48" s="233"/>
      <c r="JJ48" s="233"/>
      <c r="JK48" s="233"/>
      <c r="JL48" s="233"/>
      <c r="JM48" s="233"/>
      <c r="JN48" s="233"/>
      <c r="JO48" s="233"/>
      <c r="JP48" s="233"/>
      <c r="JQ48" s="233"/>
      <c r="JR48" s="233"/>
      <c r="JS48" s="233"/>
      <c r="JT48" s="233"/>
      <c r="JU48" s="233"/>
      <c r="JV48" s="233"/>
      <c r="JW48" s="233"/>
      <c r="JX48" s="233"/>
      <c r="JY48" s="233"/>
      <c r="JZ48" s="233"/>
      <c r="KA48" s="233"/>
      <c r="KB48" s="233"/>
      <c r="KC48" s="233"/>
      <c r="KD48" s="233"/>
      <c r="KE48" s="233"/>
      <c r="KF48" s="233"/>
      <c r="KG48" s="233"/>
      <c r="KH48" s="233"/>
      <c r="KI48" s="233"/>
      <c r="KJ48" s="233"/>
      <c r="KK48" s="233"/>
      <c r="KL48" s="233"/>
      <c r="KM48" s="233"/>
      <c r="KN48" s="233"/>
      <c r="KO48" s="233"/>
      <c r="KP48" s="233"/>
      <c r="KQ48" s="233"/>
      <c r="KR48" s="233"/>
      <c r="KS48" s="233"/>
      <c r="KT48" s="233"/>
      <c r="KU48" s="233"/>
      <c r="KV48" s="233"/>
      <c r="KW48" s="233"/>
      <c r="KX48" s="233"/>
      <c r="KY48" s="233"/>
      <c r="KZ48" s="233"/>
      <c r="LA48" s="233"/>
      <c r="LB48" s="233"/>
      <c r="LC48" s="233"/>
      <c r="LD48" s="233"/>
      <c r="LE48" s="233"/>
      <c r="LF48" s="233"/>
      <c r="LG48" s="233"/>
      <c r="LH48" s="233"/>
      <c r="LI48" s="233"/>
      <c r="LJ48" s="233"/>
      <c r="LK48" s="233"/>
      <c r="LL48" s="233"/>
      <c r="LM48" s="233"/>
      <c r="LN48" s="233"/>
      <c r="LO48" s="233"/>
      <c r="LP48" s="233"/>
      <c r="LQ48" s="233"/>
      <c r="LR48" s="233"/>
      <c r="LS48" s="233"/>
      <c r="LT48" s="233"/>
      <c r="LU48" s="233"/>
      <c r="LV48" s="233"/>
      <c r="LW48" s="233"/>
      <c r="LX48" s="233"/>
      <c r="LY48" s="233"/>
      <c r="LZ48" s="233"/>
      <c r="MA48" s="233"/>
    </row>
    <row r="49" spans="1:339" s="47" customFormat="1" ht="60" customHeight="1" x14ac:dyDescent="0.25">
      <c r="A49" s="40" t="s">
        <v>1304</v>
      </c>
      <c r="B49" s="40" t="s">
        <v>1394</v>
      </c>
      <c r="C49" s="48" t="s">
        <v>1402</v>
      </c>
      <c r="D49" s="40" t="s">
        <v>1408</v>
      </c>
      <c r="E49" s="164" t="s">
        <v>1396</v>
      </c>
      <c r="F49" s="90" t="s">
        <v>243</v>
      </c>
      <c r="G49" s="90"/>
      <c r="H49" s="165"/>
      <c r="I49" s="15"/>
      <c r="J49" s="17" t="str">
        <f>IF(H49&gt;0,(H49*VLOOKUP(Lookups!$K$11,Lookups!$M$10:$P$43,4,0)/VLOOKUP(I49,Lookups!$M$10:$P$43,4,0)),"")</f>
        <v/>
      </c>
      <c r="K49" s="165">
        <v>116</v>
      </c>
      <c r="L49" s="15" t="s">
        <v>257</v>
      </c>
      <c r="M49" s="17">
        <f>IF(K49&gt;0,(K49*VLOOKUP(Lookups!$K$11,Lookups!$M$10:$P$43,4,0)/VLOOKUP(L49,Lookups!$M$10:$P$43,4,0)),"")</f>
        <v>137.1996217496411</v>
      </c>
      <c r="N49" s="165"/>
      <c r="O49" s="15"/>
      <c r="P49" s="17" t="str">
        <f>IF(N49&gt;0,(N49*VLOOKUP(Lookups!$K$11,Lookups!$M$10:$P$43,4,0)/VLOOKUP(O49,Lookups!$M$10:$P$43,4,0)),"")</f>
        <v/>
      </c>
      <c r="Q49" s="234" t="s">
        <v>1399</v>
      </c>
      <c r="R49" s="15" t="s">
        <v>152</v>
      </c>
      <c r="S49" s="174" t="s">
        <v>1404</v>
      </c>
      <c r="T49" s="15"/>
      <c r="U49" s="90"/>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233"/>
      <c r="CD49" s="233"/>
      <c r="CE49" s="233"/>
      <c r="CF49" s="233"/>
      <c r="CG49" s="233"/>
      <c r="CH49" s="233"/>
      <c r="CI49" s="233"/>
      <c r="CJ49" s="233"/>
      <c r="CK49" s="233"/>
      <c r="CL49" s="233"/>
      <c r="CM49" s="233"/>
      <c r="CN49" s="233"/>
      <c r="CO49" s="233"/>
      <c r="CP49" s="233"/>
      <c r="CQ49" s="233"/>
      <c r="CR49" s="233"/>
      <c r="CS49" s="233"/>
      <c r="CT49" s="233"/>
      <c r="CU49" s="233"/>
      <c r="CV49" s="233"/>
      <c r="CW49" s="233"/>
      <c r="CX49" s="233"/>
      <c r="CY49" s="233"/>
      <c r="CZ49" s="233"/>
      <c r="DA49" s="233"/>
      <c r="DB49" s="233"/>
      <c r="DC49" s="233"/>
      <c r="DD49" s="233"/>
      <c r="DE49" s="233"/>
      <c r="DF49" s="233"/>
      <c r="DG49" s="233"/>
      <c r="DH49" s="233"/>
      <c r="DI49" s="233"/>
      <c r="DJ49" s="233"/>
      <c r="DK49" s="233"/>
      <c r="DL49" s="233"/>
      <c r="DM49" s="233"/>
      <c r="DN49" s="233"/>
      <c r="DO49" s="233"/>
      <c r="DP49" s="233"/>
      <c r="DQ49" s="233"/>
      <c r="DR49" s="233"/>
      <c r="DS49" s="233"/>
      <c r="DT49" s="233"/>
      <c r="DU49" s="233"/>
      <c r="DV49" s="233"/>
      <c r="DW49" s="233"/>
      <c r="DX49" s="233"/>
      <c r="DY49" s="233"/>
      <c r="DZ49" s="233"/>
      <c r="EA49" s="233"/>
      <c r="EB49" s="233"/>
      <c r="EC49" s="233"/>
      <c r="ED49" s="233"/>
      <c r="EE49" s="233"/>
      <c r="EF49" s="233"/>
      <c r="EG49" s="233"/>
      <c r="EH49" s="233"/>
      <c r="EI49" s="233"/>
      <c r="EJ49" s="233"/>
      <c r="EK49" s="233"/>
      <c r="EL49" s="233"/>
      <c r="EM49" s="233"/>
      <c r="EN49" s="233"/>
      <c r="EO49" s="233"/>
      <c r="EP49" s="233"/>
      <c r="EQ49" s="233"/>
      <c r="ER49" s="233"/>
      <c r="ES49" s="233"/>
      <c r="ET49" s="233"/>
      <c r="EU49" s="233"/>
      <c r="EV49" s="233"/>
      <c r="EW49" s="233"/>
      <c r="EX49" s="233"/>
      <c r="EY49" s="233"/>
      <c r="EZ49" s="233"/>
      <c r="FA49" s="233"/>
      <c r="FB49" s="233"/>
      <c r="FC49" s="233"/>
      <c r="FD49" s="233"/>
      <c r="FE49" s="233"/>
      <c r="FF49" s="233"/>
      <c r="FG49" s="233"/>
      <c r="FH49" s="233"/>
      <c r="FI49" s="233"/>
      <c r="FJ49" s="233"/>
      <c r="FK49" s="233"/>
      <c r="FL49" s="233"/>
      <c r="FM49" s="233"/>
      <c r="FN49" s="233"/>
      <c r="FO49" s="233"/>
      <c r="FP49" s="233"/>
      <c r="FQ49" s="233"/>
      <c r="FR49" s="233"/>
      <c r="FS49" s="233"/>
      <c r="FT49" s="233"/>
      <c r="FU49" s="233"/>
      <c r="FV49" s="233"/>
      <c r="FW49" s="233"/>
      <c r="FX49" s="233"/>
      <c r="FY49" s="233"/>
      <c r="FZ49" s="233"/>
      <c r="GA49" s="233"/>
      <c r="GB49" s="233"/>
      <c r="GC49" s="233"/>
      <c r="GD49" s="233"/>
      <c r="GE49" s="233"/>
      <c r="GF49" s="233"/>
      <c r="GG49" s="233"/>
      <c r="GH49" s="233"/>
      <c r="GI49" s="233"/>
      <c r="GJ49" s="233"/>
      <c r="GK49" s="233"/>
      <c r="GL49" s="233"/>
      <c r="GM49" s="233"/>
      <c r="GN49" s="233"/>
      <c r="GO49" s="233"/>
      <c r="GP49" s="233"/>
      <c r="GQ49" s="233"/>
      <c r="GR49" s="233"/>
      <c r="GS49" s="233"/>
      <c r="GT49" s="233"/>
      <c r="GU49" s="233"/>
      <c r="GV49" s="233"/>
      <c r="GW49" s="233"/>
      <c r="GX49" s="233"/>
      <c r="GY49" s="233"/>
      <c r="GZ49" s="233"/>
      <c r="HA49" s="233"/>
      <c r="HB49" s="233"/>
      <c r="HC49" s="233"/>
      <c r="HD49" s="233"/>
      <c r="HE49" s="233"/>
      <c r="HF49" s="233"/>
      <c r="HG49" s="233"/>
      <c r="HH49" s="233"/>
      <c r="HI49" s="233"/>
      <c r="HJ49" s="233"/>
      <c r="HK49" s="233"/>
      <c r="HL49" s="233"/>
      <c r="HM49" s="233"/>
      <c r="HN49" s="233"/>
      <c r="HO49" s="233"/>
      <c r="HP49" s="233"/>
      <c r="HQ49" s="233"/>
      <c r="HR49" s="233"/>
      <c r="HS49" s="233"/>
      <c r="HT49" s="233"/>
      <c r="HU49" s="233"/>
      <c r="HV49" s="233"/>
      <c r="HW49" s="233"/>
      <c r="HX49" s="233"/>
      <c r="HY49" s="233"/>
      <c r="HZ49" s="233"/>
      <c r="IA49" s="233"/>
      <c r="IB49" s="233"/>
      <c r="IC49" s="233"/>
      <c r="ID49" s="233"/>
      <c r="IE49" s="233"/>
      <c r="IF49" s="233"/>
      <c r="IG49" s="233"/>
      <c r="IH49" s="233"/>
      <c r="II49" s="233"/>
      <c r="IJ49" s="233"/>
      <c r="IK49" s="233"/>
      <c r="IL49" s="233"/>
      <c r="IM49" s="233"/>
      <c r="IN49" s="233"/>
      <c r="IO49" s="233"/>
      <c r="IP49" s="233"/>
      <c r="IQ49" s="233"/>
      <c r="IR49" s="233"/>
      <c r="IS49" s="233"/>
      <c r="IT49" s="233"/>
      <c r="IU49" s="233"/>
      <c r="IV49" s="233"/>
      <c r="IW49" s="233"/>
      <c r="IX49" s="233"/>
      <c r="IY49" s="233"/>
      <c r="IZ49" s="233"/>
      <c r="JA49" s="233"/>
      <c r="JB49" s="233"/>
      <c r="JC49" s="233"/>
      <c r="JD49" s="233"/>
      <c r="JE49" s="233"/>
      <c r="JF49" s="233"/>
      <c r="JG49" s="233"/>
      <c r="JH49" s="233"/>
      <c r="JI49" s="233"/>
      <c r="JJ49" s="233"/>
      <c r="JK49" s="233"/>
      <c r="JL49" s="233"/>
      <c r="JM49" s="233"/>
      <c r="JN49" s="233"/>
      <c r="JO49" s="233"/>
      <c r="JP49" s="233"/>
      <c r="JQ49" s="233"/>
      <c r="JR49" s="233"/>
      <c r="JS49" s="233"/>
      <c r="JT49" s="233"/>
      <c r="JU49" s="233"/>
      <c r="JV49" s="233"/>
      <c r="JW49" s="233"/>
      <c r="JX49" s="233"/>
      <c r="JY49" s="233"/>
      <c r="JZ49" s="233"/>
      <c r="KA49" s="233"/>
      <c r="KB49" s="233"/>
      <c r="KC49" s="233"/>
      <c r="KD49" s="233"/>
      <c r="KE49" s="233"/>
      <c r="KF49" s="233"/>
      <c r="KG49" s="233"/>
      <c r="KH49" s="233"/>
      <c r="KI49" s="233"/>
      <c r="KJ49" s="233"/>
      <c r="KK49" s="233"/>
      <c r="KL49" s="233"/>
      <c r="KM49" s="233"/>
      <c r="KN49" s="233"/>
      <c r="KO49" s="233"/>
      <c r="KP49" s="233"/>
      <c r="KQ49" s="233"/>
      <c r="KR49" s="233"/>
      <c r="KS49" s="233"/>
      <c r="KT49" s="233"/>
      <c r="KU49" s="233"/>
      <c r="KV49" s="233"/>
      <c r="KW49" s="233"/>
      <c r="KX49" s="233"/>
      <c r="KY49" s="233"/>
      <c r="KZ49" s="233"/>
      <c r="LA49" s="233"/>
      <c r="LB49" s="233"/>
      <c r="LC49" s="233"/>
      <c r="LD49" s="233"/>
      <c r="LE49" s="233"/>
      <c r="LF49" s="233"/>
      <c r="LG49" s="233"/>
      <c r="LH49" s="233"/>
      <c r="LI49" s="233"/>
      <c r="LJ49" s="233"/>
      <c r="LK49" s="233"/>
      <c r="LL49" s="233"/>
      <c r="LM49" s="233"/>
      <c r="LN49" s="233"/>
      <c r="LO49" s="233"/>
      <c r="LP49" s="233"/>
      <c r="LQ49" s="233"/>
      <c r="LR49" s="233"/>
      <c r="LS49" s="233"/>
      <c r="LT49" s="233"/>
      <c r="LU49" s="233"/>
      <c r="LV49" s="233"/>
      <c r="LW49" s="233"/>
      <c r="LX49" s="233"/>
      <c r="LY49" s="233"/>
      <c r="LZ49" s="233"/>
      <c r="MA49" s="233"/>
    </row>
    <row r="50" spans="1:339" s="47" customFormat="1" ht="60" customHeight="1" collapsed="1" x14ac:dyDescent="0.25">
      <c r="A50" s="40" t="s">
        <v>1304</v>
      </c>
      <c r="B50" s="40" t="s">
        <v>1394</v>
      </c>
      <c r="C50" s="48" t="s">
        <v>1415</v>
      </c>
      <c r="D50" s="40" t="s">
        <v>1407</v>
      </c>
      <c r="E50" s="164" t="s">
        <v>1396</v>
      </c>
      <c r="F50" s="90" t="s">
        <v>243</v>
      </c>
      <c r="G50" s="90"/>
      <c r="H50" s="165"/>
      <c r="I50" s="15"/>
      <c r="J50" s="17" t="str">
        <f>IF(H50&gt;0,(H50*VLOOKUP(Lookups!$K$11,Lookups!$M$10:$P$43,4,0)/VLOOKUP(I50,Lookups!$M$10:$P$43,4,0)),"")</f>
        <v/>
      </c>
      <c r="K50" s="165">
        <v>6</v>
      </c>
      <c r="L50" s="15" t="s">
        <v>257</v>
      </c>
      <c r="M50" s="17">
        <f>IF(K50&gt;0,(K50*VLOOKUP(Lookups!$K$11,Lookups!$M$10:$P$43,4,0)/VLOOKUP(L50,Lookups!$M$10:$P$43,4,0)),"")</f>
        <v>7.0965321594641955</v>
      </c>
      <c r="N50" s="165"/>
      <c r="O50" s="15"/>
      <c r="P50" s="17" t="str">
        <f>IF(N50&gt;0,(N50*VLOOKUP(Lookups!$K$11,Lookups!$M$10:$P$43,4,0)/VLOOKUP(O50,Lookups!$M$10:$P$43,4,0)),"")</f>
        <v/>
      </c>
      <c r="Q50" s="234" t="s">
        <v>1399</v>
      </c>
      <c r="R50" s="15" t="s">
        <v>152</v>
      </c>
      <c r="S50" s="174" t="s">
        <v>1405</v>
      </c>
      <c r="T50" s="15"/>
      <c r="U50" s="90"/>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3"/>
      <c r="BZ50" s="233"/>
      <c r="CA50" s="233"/>
      <c r="CB50" s="233"/>
      <c r="CC50" s="233"/>
      <c r="CD50" s="233"/>
      <c r="CE50" s="233"/>
      <c r="CF50" s="233"/>
      <c r="CG50" s="233"/>
      <c r="CH50" s="233"/>
      <c r="CI50" s="233"/>
      <c r="CJ50" s="233"/>
      <c r="CK50" s="233"/>
      <c r="CL50" s="233"/>
      <c r="CM50" s="233"/>
      <c r="CN50" s="233"/>
      <c r="CO50" s="233"/>
      <c r="CP50" s="233"/>
      <c r="CQ50" s="233"/>
      <c r="CR50" s="233"/>
      <c r="CS50" s="233"/>
      <c r="CT50" s="233"/>
      <c r="CU50" s="233"/>
      <c r="CV50" s="233"/>
      <c r="CW50" s="233"/>
      <c r="CX50" s="233"/>
      <c r="CY50" s="233"/>
      <c r="CZ50" s="233"/>
      <c r="DA50" s="233"/>
      <c r="DB50" s="233"/>
      <c r="DC50" s="233"/>
      <c r="DD50" s="233"/>
      <c r="DE50" s="233"/>
      <c r="DF50" s="233"/>
      <c r="DG50" s="233"/>
      <c r="DH50" s="233"/>
      <c r="DI50" s="233"/>
      <c r="DJ50" s="233"/>
      <c r="DK50" s="233"/>
      <c r="DL50" s="233"/>
      <c r="DM50" s="233"/>
      <c r="DN50" s="233"/>
      <c r="DO50" s="233"/>
      <c r="DP50" s="233"/>
      <c r="DQ50" s="233"/>
      <c r="DR50" s="233"/>
      <c r="DS50" s="233"/>
      <c r="DT50" s="233"/>
      <c r="DU50" s="233"/>
      <c r="DV50" s="233"/>
      <c r="DW50" s="233"/>
      <c r="DX50" s="233"/>
      <c r="DY50" s="233"/>
      <c r="DZ50" s="233"/>
      <c r="EA50" s="233"/>
      <c r="EB50" s="233"/>
      <c r="EC50" s="233"/>
      <c r="ED50" s="233"/>
      <c r="EE50" s="233"/>
      <c r="EF50" s="233"/>
      <c r="EG50" s="233"/>
      <c r="EH50" s="233"/>
      <c r="EI50" s="233"/>
      <c r="EJ50" s="233"/>
      <c r="EK50" s="233"/>
      <c r="EL50" s="233"/>
      <c r="EM50" s="233"/>
      <c r="EN50" s="233"/>
      <c r="EO50" s="233"/>
      <c r="EP50" s="233"/>
      <c r="EQ50" s="233"/>
      <c r="ER50" s="233"/>
      <c r="ES50" s="233"/>
      <c r="ET50" s="233"/>
      <c r="EU50" s="233"/>
      <c r="EV50" s="233"/>
      <c r="EW50" s="233"/>
      <c r="EX50" s="233"/>
      <c r="EY50" s="233"/>
      <c r="EZ50" s="233"/>
      <c r="FA50" s="233"/>
      <c r="FB50" s="233"/>
      <c r="FC50" s="233"/>
      <c r="FD50" s="233"/>
      <c r="FE50" s="233"/>
      <c r="FF50" s="233"/>
      <c r="FG50" s="233"/>
      <c r="FH50" s="233"/>
      <c r="FI50" s="233"/>
      <c r="FJ50" s="233"/>
      <c r="FK50" s="233"/>
      <c r="FL50" s="233"/>
      <c r="FM50" s="233"/>
      <c r="FN50" s="233"/>
      <c r="FO50" s="233"/>
      <c r="FP50" s="233"/>
      <c r="FQ50" s="233"/>
      <c r="FR50" s="233"/>
      <c r="FS50" s="233"/>
      <c r="FT50" s="233"/>
      <c r="FU50" s="233"/>
      <c r="FV50" s="233"/>
      <c r="FW50" s="233"/>
      <c r="FX50" s="233"/>
      <c r="FY50" s="233"/>
      <c r="FZ50" s="233"/>
      <c r="GA50" s="233"/>
      <c r="GB50" s="233"/>
      <c r="GC50" s="233"/>
      <c r="GD50" s="233"/>
      <c r="GE50" s="233"/>
      <c r="GF50" s="233"/>
      <c r="GG50" s="233"/>
      <c r="GH50" s="233"/>
      <c r="GI50" s="233"/>
      <c r="GJ50" s="233"/>
      <c r="GK50" s="233"/>
      <c r="GL50" s="233"/>
      <c r="GM50" s="233"/>
      <c r="GN50" s="233"/>
      <c r="GO50" s="233"/>
      <c r="GP50" s="233"/>
      <c r="GQ50" s="233"/>
      <c r="GR50" s="233"/>
      <c r="GS50" s="233"/>
      <c r="GT50" s="233"/>
      <c r="GU50" s="233"/>
      <c r="GV50" s="233"/>
      <c r="GW50" s="233"/>
      <c r="GX50" s="233"/>
      <c r="GY50" s="233"/>
      <c r="GZ50" s="233"/>
      <c r="HA50" s="233"/>
      <c r="HB50" s="233"/>
      <c r="HC50" s="233"/>
      <c r="HD50" s="233"/>
      <c r="HE50" s="233"/>
      <c r="HF50" s="233"/>
      <c r="HG50" s="233"/>
      <c r="HH50" s="233"/>
      <c r="HI50" s="233"/>
      <c r="HJ50" s="233"/>
      <c r="HK50" s="233"/>
      <c r="HL50" s="233"/>
      <c r="HM50" s="233"/>
      <c r="HN50" s="233"/>
      <c r="HO50" s="233"/>
      <c r="HP50" s="233"/>
      <c r="HQ50" s="233"/>
      <c r="HR50" s="233"/>
      <c r="HS50" s="233"/>
      <c r="HT50" s="233"/>
      <c r="HU50" s="233"/>
      <c r="HV50" s="233"/>
      <c r="HW50" s="233"/>
      <c r="HX50" s="233"/>
      <c r="HY50" s="233"/>
      <c r="HZ50" s="233"/>
      <c r="IA50" s="233"/>
      <c r="IB50" s="233"/>
      <c r="IC50" s="233"/>
      <c r="ID50" s="233"/>
      <c r="IE50" s="233"/>
      <c r="IF50" s="233"/>
      <c r="IG50" s="233"/>
      <c r="IH50" s="233"/>
      <c r="II50" s="233"/>
      <c r="IJ50" s="233"/>
      <c r="IK50" s="233"/>
      <c r="IL50" s="233"/>
      <c r="IM50" s="233"/>
      <c r="IN50" s="233"/>
      <c r="IO50" s="233"/>
      <c r="IP50" s="233"/>
      <c r="IQ50" s="233"/>
      <c r="IR50" s="233"/>
      <c r="IS50" s="233"/>
      <c r="IT50" s="233"/>
      <c r="IU50" s="233"/>
      <c r="IV50" s="233"/>
      <c r="IW50" s="233"/>
      <c r="IX50" s="233"/>
      <c r="IY50" s="233"/>
      <c r="IZ50" s="233"/>
      <c r="JA50" s="233"/>
      <c r="JB50" s="233"/>
      <c r="JC50" s="233"/>
      <c r="JD50" s="233"/>
      <c r="JE50" s="233"/>
      <c r="JF50" s="233"/>
      <c r="JG50" s="233"/>
      <c r="JH50" s="233"/>
      <c r="JI50" s="233"/>
      <c r="JJ50" s="233"/>
      <c r="JK50" s="233"/>
      <c r="JL50" s="233"/>
      <c r="JM50" s="233"/>
      <c r="JN50" s="233"/>
      <c r="JO50" s="233"/>
      <c r="JP50" s="233"/>
      <c r="JQ50" s="233"/>
      <c r="JR50" s="233"/>
      <c r="JS50" s="233"/>
      <c r="JT50" s="233"/>
      <c r="JU50" s="233"/>
      <c r="JV50" s="233"/>
      <c r="JW50" s="233"/>
      <c r="JX50" s="233"/>
      <c r="JY50" s="233"/>
      <c r="JZ50" s="233"/>
      <c r="KA50" s="233"/>
      <c r="KB50" s="233"/>
      <c r="KC50" s="233"/>
      <c r="KD50" s="233"/>
      <c r="KE50" s="233"/>
      <c r="KF50" s="233"/>
      <c r="KG50" s="233"/>
      <c r="KH50" s="233"/>
      <c r="KI50" s="233"/>
      <c r="KJ50" s="233"/>
      <c r="KK50" s="233"/>
      <c r="KL50" s="233"/>
      <c r="KM50" s="233"/>
      <c r="KN50" s="233"/>
      <c r="KO50" s="233"/>
      <c r="KP50" s="233"/>
      <c r="KQ50" s="233"/>
      <c r="KR50" s="233"/>
      <c r="KS50" s="233"/>
      <c r="KT50" s="233"/>
      <c r="KU50" s="233"/>
      <c r="KV50" s="233"/>
      <c r="KW50" s="233"/>
      <c r="KX50" s="233"/>
      <c r="KY50" s="233"/>
      <c r="KZ50" s="233"/>
      <c r="LA50" s="233"/>
      <c r="LB50" s="233"/>
      <c r="LC50" s="233"/>
      <c r="LD50" s="233"/>
      <c r="LE50" s="233"/>
      <c r="LF50" s="233"/>
      <c r="LG50" s="233"/>
      <c r="LH50" s="233"/>
      <c r="LI50" s="233"/>
      <c r="LJ50" s="233"/>
      <c r="LK50" s="233"/>
      <c r="LL50" s="233"/>
      <c r="LM50" s="233"/>
      <c r="LN50" s="233"/>
      <c r="LO50" s="233"/>
      <c r="LP50" s="233"/>
      <c r="LQ50" s="233"/>
      <c r="LR50" s="233"/>
      <c r="LS50" s="233"/>
      <c r="LT50" s="233"/>
      <c r="LU50" s="233"/>
      <c r="LV50" s="233"/>
      <c r="LW50" s="233"/>
      <c r="LX50" s="233"/>
      <c r="LY50" s="233"/>
      <c r="LZ50" s="233"/>
      <c r="MA50" s="233"/>
    </row>
    <row r="51" spans="1:339" s="47" customFormat="1" ht="60" hidden="1" customHeight="1" outlineLevel="1" x14ac:dyDescent="0.25">
      <c r="A51" s="50" t="s">
        <v>1304</v>
      </c>
      <c r="B51" s="50" t="s">
        <v>1394</v>
      </c>
      <c r="C51" s="50" t="s">
        <v>1430</v>
      </c>
      <c r="D51" s="50" t="s">
        <v>1413</v>
      </c>
      <c r="E51" s="164" t="s">
        <v>1410</v>
      </c>
      <c r="F51" s="90" t="s">
        <v>243</v>
      </c>
      <c r="G51" s="90"/>
      <c r="H51" s="165"/>
      <c r="I51" s="15"/>
      <c r="J51" s="17" t="str">
        <f>IF(H51&gt;0,(H51*VLOOKUP(Lookups!$K$11,Lookups!$M$10:$P$43,4,0)/VLOOKUP(I51,Lookups!$M$10:$P$43,4,0)),"")</f>
        <v/>
      </c>
      <c r="K51" s="193">
        <f>1100*K14</f>
        <v>21.535488156557427</v>
      </c>
      <c r="L51" s="15" t="s">
        <v>260</v>
      </c>
      <c r="M51" s="17">
        <f>IF(K51&gt;0,(K51*VLOOKUP(Lookups!$K$11,Lookups!$M$10:$P$43,4,0)/VLOOKUP(L51,Lookups!$M$10:$P$43,4,0)),"")</f>
        <v>24.023360945227537</v>
      </c>
      <c r="N51" s="165"/>
      <c r="O51" s="15"/>
      <c r="P51" s="17" t="str">
        <f>IF(N51&gt;0,(N51*VLOOKUP(Lookups!$K$11,Lookups!$M$10:$P$43,4,0)/VLOOKUP(O51,Lookups!$M$10:$P$43,4,0)),"")</f>
        <v/>
      </c>
      <c r="Q51" s="234" t="s">
        <v>2376</v>
      </c>
      <c r="R51" s="15" t="s">
        <v>154</v>
      </c>
      <c r="S51" s="174" t="s">
        <v>2362</v>
      </c>
      <c r="T51" s="15" t="s">
        <v>923</v>
      </c>
      <c r="U51" s="90" t="s">
        <v>2281</v>
      </c>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3"/>
      <c r="BR51" s="233"/>
      <c r="BS51" s="233"/>
      <c r="BT51" s="233"/>
      <c r="BU51" s="233"/>
      <c r="BV51" s="233"/>
      <c r="BW51" s="233"/>
      <c r="BX51" s="233"/>
      <c r="BY51" s="233"/>
      <c r="BZ51" s="233"/>
      <c r="CA51" s="233"/>
      <c r="CB51" s="233"/>
      <c r="CC51" s="233"/>
      <c r="CD51" s="233"/>
      <c r="CE51" s="233"/>
      <c r="CF51" s="233"/>
      <c r="CG51" s="233"/>
      <c r="CH51" s="233"/>
      <c r="CI51" s="233"/>
      <c r="CJ51" s="233"/>
      <c r="CK51" s="233"/>
      <c r="CL51" s="233"/>
      <c r="CM51" s="233"/>
      <c r="CN51" s="233"/>
      <c r="CO51" s="233"/>
      <c r="CP51" s="233"/>
      <c r="CQ51" s="233"/>
      <c r="CR51" s="233"/>
      <c r="CS51" s="233"/>
      <c r="CT51" s="233"/>
      <c r="CU51" s="233"/>
      <c r="CV51" s="233"/>
      <c r="CW51" s="233"/>
      <c r="CX51" s="233"/>
      <c r="CY51" s="233"/>
      <c r="CZ51" s="233"/>
      <c r="DA51" s="233"/>
      <c r="DB51" s="233"/>
      <c r="DC51" s="233"/>
      <c r="DD51" s="233"/>
      <c r="DE51" s="233"/>
      <c r="DF51" s="233"/>
      <c r="DG51" s="233"/>
      <c r="DH51" s="233"/>
      <c r="DI51" s="233"/>
      <c r="DJ51" s="233"/>
      <c r="DK51" s="233"/>
      <c r="DL51" s="233"/>
      <c r="DM51" s="233"/>
      <c r="DN51" s="233"/>
      <c r="DO51" s="233"/>
      <c r="DP51" s="233"/>
      <c r="DQ51" s="233"/>
      <c r="DR51" s="233"/>
      <c r="DS51" s="233"/>
      <c r="DT51" s="233"/>
      <c r="DU51" s="233"/>
      <c r="DV51" s="233"/>
      <c r="DW51" s="233"/>
      <c r="DX51" s="233"/>
      <c r="DY51" s="233"/>
      <c r="DZ51" s="233"/>
      <c r="EA51" s="233"/>
      <c r="EB51" s="233"/>
      <c r="EC51" s="233"/>
      <c r="ED51" s="233"/>
      <c r="EE51" s="233"/>
      <c r="EF51" s="233"/>
      <c r="EG51" s="233"/>
      <c r="EH51" s="233"/>
      <c r="EI51" s="233"/>
      <c r="EJ51" s="233"/>
      <c r="EK51" s="233"/>
      <c r="EL51" s="233"/>
      <c r="EM51" s="233"/>
      <c r="EN51" s="233"/>
      <c r="EO51" s="233"/>
      <c r="EP51" s="233"/>
      <c r="EQ51" s="233"/>
      <c r="ER51" s="233"/>
      <c r="ES51" s="233"/>
      <c r="ET51" s="233"/>
      <c r="EU51" s="233"/>
      <c r="EV51" s="233"/>
      <c r="EW51" s="233"/>
      <c r="EX51" s="233"/>
      <c r="EY51" s="233"/>
      <c r="EZ51" s="233"/>
      <c r="FA51" s="233"/>
      <c r="FB51" s="233"/>
      <c r="FC51" s="233"/>
      <c r="FD51" s="233"/>
      <c r="FE51" s="233"/>
      <c r="FF51" s="233"/>
      <c r="FG51" s="233"/>
      <c r="FH51" s="233"/>
      <c r="FI51" s="233"/>
      <c r="FJ51" s="233"/>
      <c r="FK51" s="233"/>
      <c r="FL51" s="233"/>
      <c r="FM51" s="233"/>
      <c r="FN51" s="233"/>
      <c r="FO51" s="233"/>
      <c r="FP51" s="233"/>
      <c r="FQ51" s="233"/>
      <c r="FR51" s="233"/>
      <c r="FS51" s="233"/>
      <c r="FT51" s="233"/>
      <c r="FU51" s="233"/>
      <c r="FV51" s="233"/>
      <c r="FW51" s="233"/>
      <c r="FX51" s="233"/>
      <c r="FY51" s="233"/>
      <c r="FZ51" s="233"/>
      <c r="GA51" s="233"/>
      <c r="GB51" s="233"/>
      <c r="GC51" s="233"/>
      <c r="GD51" s="233"/>
      <c r="GE51" s="233"/>
      <c r="GF51" s="233"/>
      <c r="GG51" s="233"/>
      <c r="GH51" s="233"/>
      <c r="GI51" s="233"/>
      <c r="GJ51" s="233"/>
      <c r="GK51" s="233"/>
      <c r="GL51" s="233"/>
      <c r="GM51" s="233"/>
      <c r="GN51" s="233"/>
      <c r="GO51" s="233"/>
      <c r="GP51" s="233"/>
      <c r="GQ51" s="233"/>
      <c r="GR51" s="233"/>
      <c r="GS51" s="233"/>
      <c r="GT51" s="233"/>
      <c r="GU51" s="233"/>
      <c r="GV51" s="233"/>
      <c r="GW51" s="233"/>
      <c r="GX51" s="233"/>
      <c r="GY51" s="233"/>
      <c r="GZ51" s="233"/>
      <c r="HA51" s="233"/>
      <c r="HB51" s="233"/>
      <c r="HC51" s="233"/>
      <c r="HD51" s="233"/>
      <c r="HE51" s="233"/>
      <c r="HF51" s="233"/>
      <c r="HG51" s="233"/>
      <c r="HH51" s="233"/>
      <c r="HI51" s="233"/>
      <c r="HJ51" s="233"/>
      <c r="HK51" s="233"/>
      <c r="HL51" s="233"/>
      <c r="HM51" s="233"/>
      <c r="HN51" s="233"/>
      <c r="HO51" s="233"/>
      <c r="HP51" s="233"/>
      <c r="HQ51" s="233"/>
      <c r="HR51" s="233"/>
      <c r="HS51" s="233"/>
      <c r="HT51" s="233"/>
      <c r="HU51" s="233"/>
      <c r="HV51" s="233"/>
      <c r="HW51" s="233"/>
      <c r="HX51" s="233"/>
      <c r="HY51" s="233"/>
      <c r="HZ51" s="233"/>
      <c r="IA51" s="233"/>
      <c r="IB51" s="233"/>
      <c r="IC51" s="233"/>
      <c r="ID51" s="233"/>
      <c r="IE51" s="233"/>
      <c r="IF51" s="233"/>
      <c r="IG51" s="233"/>
      <c r="IH51" s="233"/>
      <c r="II51" s="233"/>
      <c r="IJ51" s="233"/>
      <c r="IK51" s="233"/>
      <c r="IL51" s="233"/>
      <c r="IM51" s="233"/>
      <c r="IN51" s="233"/>
      <c r="IO51" s="233"/>
      <c r="IP51" s="233"/>
      <c r="IQ51" s="233"/>
      <c r="IR51" s="233"/>
      <c r="IS51" s="233"/>
      <c r="IT51" s="233"/>
      <c r="IU51" s="233"/>
      <c r="IV51" s="233"/>
      <c r="IW51" s="233"/>
      <c r="IX51" s="233"/>
      <c r="IY51" s="233"/>
      <c r="IZ51" s="233"/>
      <c r="JA51" s="233"/>
      <c r="JB51" s="233"/>
      <c r="JC51" s="233"/>
      <c r="JD51" s="233"/>
      <c r="JE51" s="233"/>
      <c r="JF51" s="233"/>
      <c r="JG51" s="233"/>
      <c r="JH51" s="233"/>
      <c r="JI51" s="233"/>
      <c r="JJ51" s="233"/>
      <c r="JK51" s="233"/>
      <c r="JL51" s="233"/>
      <c r="JM51" s="233"/>
      <c r="JN51" s="233"/>
      <c r="JO51" s="233"/>
      <c r="JP51" s="233"/>
      <c r="JQ51" s="233"/>
      <c r="JR51" s="233"/>
      <c r="JS51" s="233"/>
      <c r="JT51" s="233"/>
      <c r="JU51" s="233"/>
      <c r="JV51" s="233"/>
      <c r="JW51" s="233"/>
      <c r="JX51" s="233"/>
      <c r="JY51" s="233"/>
      <c r="JZ51" s="233"/>
      <c r="KA51" s="233"/>
      <c r="KB51" s="233"/>
      <c r="KC51" s="233"/>
      <c r="KD51" s="233"/>
      <c r="KE51" s="233"/>
      <c r="KF51" s="233"/>
      <c r="KG51" s="233"/>
      <c r="KH51" s="233"/>
      <c r="KI51" s="233"/>
      <c r="KJ51" s="233"/>
      <c r="KK51" s="233"/>
      <c r="KL51" s="233"/>
      <c r="KM51" s="233"/>
      <c r="KN51" s="233"/>
      <c r="KO51" s="233"/>
      <c r="KP51" s="233"/>
      <c r="KQ51" s="233"/>
      <c r="KR51" s="233"/>
      <c r="KS51" s="233"/>
      <c r="KT51" s="233"/>
      <c r="KU51" s="233"/>
      <c r="KV51" s="233"/>
      <c r="KW51" s="233"/>
      <c r="KX51" s="233"/>
      <c r="KY51" s="233"/>
      <c r="KZ51" s="233"/>
      <c r="LA51" s="233"/>
      <c r="LB51" s="233"/>
      <c r="LC51" s="233"/>
      <c r="LD51" s="233"/>
      <c r="LE51" s="233"/>
      <c r="LF51" s="233"/>
      <c r="LG51" s="233"/>
      <c r="LH51" s="233"/>
      <c r="LI51" s="233"/>
      <c r="LJ51" s="233"/>
      <c r="LK51" s="233"/>
      <c r="LL51" s="233"/>
      <c r="LM51" s="233"/>
      <c r="LN51" s="233"/>
      <c r="LO51" s="233"/>
      <c r="LP51" s="233"/>
      <c r="LQ51" s="233"/>
      <c r="LR51" s="233"/>
      <c r="LS51" s="233"/>
      <c r="LT51" s="233"/>
      <c r="LU51" s="233"/>
      <c r="LV51" s="233"/>
      <c r="LW51" s="233"/>
      <c r="LX51" s="233"/>
      <c r="LY51" s="233"/>
      <c r="LZ51" s="233"/>
      <c r="MA51" s="233"/>
    </row>
    <row r="52" spans="1:339" s="47" customFormat="1" ht="60" hidden="1" customHeight="1" outlineLevel="1" x14ac:dyDescent="0.25">
      <c r="A52" s="50" t="s">
        <v>1304</v>
      </c>
      <c r="B52" s="50" t="s">
        <v>1394</v>
      </c>
      <c r="C52" s="50" t="s">
        <v>1431</v>
      </c>
      <c r="D52" s="50" t="s">
        <v>1414</v>
      </c>
      <c r="E52" s="164" t="s">
        <v>1410</v>
      </c>
      <c r="F52" s="90" t="s">
        <v>243</v>
      </c>
      <c r="G52" s="90"/>
      <c r="H52" s="165"/>
      <c r="I52" s="15"/>
      <c r="J52" s="17" t="str">
        <f>IF(H52&gt;0,(H52*VLOOKUP(Lookups!$K$11,Lookups!$M$10:$P$43,4,0)/VLOOKUP(I52,Lookups!$M$10:$P$43,4,0)),"")</f>
        <v/>
      </c>
      <c r="K52" s="200">
        <f>1100*K17</f>
        <v>50.064256</v>
      </c>
      <c r="L52" s="15" t="s">
        <v>260</v>
      </c>
      <c r="M52" s="111">
        <f>IF(K52&gt;0,(K52*VLOOKUP(Lookups!$K$11,Lookups!$M$10:$P$43,4,0)/VLOOKUP(L52,Lookups!$M$10:$P$43,4,0)),"")</f>
        <v>55.847895510836373</v>
      </c>
      <c r="N52" s="200">
        <f>1100*N18</f>
        <v>1.7581694309303959</v>
      </c>
      <c r="O52" s="15" t="s">
        <v>260</v>
      </c>
      <c r="P52" s="111">
        <f>IF(N52&gt;0,(N52*VLOOKUP(Lookups!$K$11,Lookups!$M$10:$P$43,4,0)/VLOOKUP(O52,Lookups!$M$10:$P$43,4,0)),"")</f>
        <v>1.961280772232936</v>
      </c>
      <c r="Q52" s="234" t="s">
        <v>2376</v>
      </c>
      <c r="R52" s="15" t="s">
        <v>154</v>
      </c>
      <c r="S52" s="174" t="s">
        <v>2378</v>
      </c>
      <c r="T52" s="15" t="s">
        <v>923</v>
      </c>
      <c r="U52" s="90" t="s">
        <v>2281</v>
      </c>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3"/>
      <c r="BR52" s="233"/>
      <c r="BS52" s="233"/>
      <c r="BT52" s="233"/>
      <c r="BU52" s="233"/>
      <c r="BV52" s="233"/>
      <c r="BW52" s="233"/>
      <c r="BX52" s="233"/>
      <c r="BY52" s="233"/>
      <c r="BZ52" s="233"/>
      <c r="CA52" s="233"/>
      <c r="CB52" s="233"/>
      <c r="CC52" s="233"/>
      <c r="CD52" s="233"/>
      <c r="CE52" s="233"/>
      <c r="CF52" s="233"/>
      <c r="CG52" s="233"/>
      <c r="CH52" s="233"/>
      <c r="CI52" s="233"/>
      <c r="CJ52" s="233"/>
      <c r="CK52" s="233"/>
      <c r="CL52" s="233"/>
      <c r="CM52" s="233"/>
      <c r="CN52" s="233"/>
      <c r="CO52" s="233"/>
      <c r="CP52" s="233"/>
      <c r="CQ52" s="233"/>
      <c r="CR52" s="233"/>
      <c r="CS52" s="233"/>
      <c r="CT52" s="233"/>
      <c r="CU52" s="233"/>
      <c r="CV52" s="233"/>
      <c r="CW52" s="233"/>
      <c r="CX52" s="233"/>
      <c r="CY52" s="233"/>
      <c r="CZ52" s="233"/>
      <c r="DA52" s="233"/>
      <c r="DB52" s="233"/>
      <c r="DC52" s="233"/>
      <c r="DD52" s="233"/>
      <c r="DE52" s="233"/>
      <c r="DF52" s="233"/>
      <c r="DG52" s="233"/>
      <c r="DH52" s="233"/>
      <c r="DI52" s="233"/>
      <c r="DJ52" s="233"/>
      <c r="DK52" s="233"/>
      <c r="DL52" s="233"/>
      <c r="DM52" s="233"/>
      <c r="DN52" s="233"/>
      <c r="DO52" s="233"/>
      <c r="DP52" s="233"/>
      <c r="DQ52" s="233"/>
      <c r="DR52" s="233"/>
      <c r="DS52" s="233"/>
      <c r="DT52" s="233"/>
      <c r="DU52" s="233"/>
      <c r="DV52" s="233"/>
      <c r="DW52" s="233"/>
      <c r="DX52" s="233"/>
      <c r="DY52" s="233"/>
      <c r="DZ52" s="233"/>
      <c r="EA52" s="233"/>
      <c r="EB52" s="233"/>
      <c r="EC52" s="233"/>
      <c r="ED52" s="233"/>
      <c r="EE52" s="233"/>
      <c r="EF52" s="233"/>
      <c r="EG52" s="233"/>
      <c r="EH52" s="233"/>
      <c r="EI52" s="233"/>
      <c r="EJ52" s="233"/>
      <c r="EK52" s="233"/>
      <c r="EL52" s="233"/>
      <c r="EM52" s="233"/>
      <c r="EN52" s="233"/>
      <c r="EO52" s="233"/>
      <c r="EP52" s="233"/>
      <c r="EQ52" s="233"/>
      <c r="ER52" s="233"/>
      <c r="ES52" s="233"/>
      <c r="ET52" s="233"/>
      <c r="EU52" s="233"/>
      <c r="EV52" s="233"/>
      <c r="EW52" s="233"/>
      <c r="EX52" s="233"/>
      <c r="EY52" s="233"/>
      <c r="EZ52" s="233"/>
      <c r="FA52" s="233"/>
      <c r="FB52" s="233"/>
      <c r="FC52" s="233"/>
      <c r="FD52" s="233"/>
      <c r="FE52" s="233"/>
      <c r="FF52" s="233"/>
      <c r="FG52" s="233"/>
      <c r="FH52" s="233"/>
      <c r="FI52" s="233"/>
      <c r="FJ52" s="233"/>
      <c r="FK52" s="233"/>
      <c r="FL52" s="233"/>
      <c r="FM52" s="233"/>
      <c r="FN52" s="233"/>
      <c r="FO52" s="233"/>
      <c r="FP52" s="233"/>
      <c r="FQ52" s="233"/>
      <c r="FR52" s="233"/>
      <c r="FS52" s="233"/>
      <c r="FT52" s="233"/>
      <c r="FU52" s="233"/>
      <c r="FV52" s="233"/>
      <c r="FW52" s="233"/>
      <c r="FX52" s="233"/>
      <c r="FY52" s="233"/>
      <c r="FZ52" s="233"/>
      <c r="GA52" s="233"/>
      <c r="GB52" s="233"/>
      <c r="GC52" s="233"/>
      <c r="GD52" s="233"/>
      <c r="GE52" s="233"/>
      <c r="GF52" s="233"/>
      <c r="GG52" s="233"/>
      <c r="GH52" s="233"/>
      <c r="GI52" s="233"/>
      <c r="GJ52" s="233"/>
      <c r="GK52" s="233"/>
      <c r="GL52" s="233"/>
      <c r="GM52" s="233"/>
      <c r="GN52" s="233"/>
      <c r="GO52" s="233"/>
      <c r="GP52" s="233"/>
      <c r="GQ52" s="233"/>
      <c r="GR52" s="233"/>
      <c r="GS52" s="233"/>
      <c r="GT52" s="233"/>
      <c r="GU52" s="233"/>
      <c r="GV52" s="233"/>
      <c r="GW52" s="233"/>
      <c r="GX52" s="233"/>
      <c r="GY52" s="233"/>
      <c r="GZ52" s="233"/>
      <c r="HA52" s="233"/>
      <c r="HB52" s="233"/>
      <c r="HC52" s="233"/>
      <c r="HD52" s="233"/>
      <c r="HE52" s="233"/>
      <c r="HF52" s="233"/>
      <c r="HG52" s="233"/>
      <c r="HH52" s="233"/>
      <c r="HI52" s="233"/>
      <c r="HJ52" s="233"/>
      <c r="HK52" s="233"/>
      <c r="HL52" s="233"/>
      <c r="HM52" s="233"/>
      <c r="HN52" s="233"/>
      <c r="HO52" s="233"/>
      <c r="HP52" s="233"/>
      <c r="HQ52" s="233"/>
      <c r="HR52" s="233"/>
      <c r="HS52" s="233"/>
      <c r="HT52" s="233"/>
      <c r="HU52" s="233"/>
      <c r="HV52" s="233"/>
      <c r="HW52" s="233"/>
      <c r="HX52" s="233"/>
      <c r="HY52" s="233"/>
      <c r="HZ52" s="233"/>
      <c r="IA52" s="233"/>
      <c r="IB52" s="233"/>
      <c r="IC52" s="233"/>
      <c r="ID52" s="233"/>
      <c r="IE52" s="233"/>
      <c r="IF52" s="233"/>
      <c r="IG52" s="233"/>
      <c r="IH52" s="233"/>
      <c r="II52" s="233"/>
      <c r="IJ52" s="233"/>
      <c r="IK52" s="233"/>
      <c r="IL52" s="233"/>
      <c r="IM52" s="233"/>
      <c r="IN52" s="233"/>
      <c r="IO52" s="233"/>
      <c r="IP52" s="233"/>
      <c r="IQ52" s="233"/>
      <c r="IR52" s="233"/>
      <c r="IS52" s="233"/>
      <c r="IT52" s="233"/>
      <c r="IU52" s="233"/>
      <c r="IV52" s="233"/>
      <c r="IW52" s="233"/>
      <c r="IX52" s="233"/>
      <c r="IY52" s="233"/>
      <c r="IZ52" s="233"/>
      <c r="JA52" s="233"/>
      <c r="JB52" s="233"/>
      <c r="JC52" s="233"/>
      <c r="JD52" s="233"/>
      <c r="JE52" s="233"/>
      <c r="JF52" s="233"/>
      <c r="JG52" s="233"/>
      <c r="JH52" s="233"/>
      <c r="JI52" s="233"/>
      <c r="JJ52" s="233"/>
      <c r="JK52" s="233"/>
      <c r="JL52" s="233"/>
      <c r="JM52" s="233"/>
      <c r="JN52" s="233"/>
      <c r="JO52" s="233"/>
      <c r="JP52" s="233"/>
      <c r="JQ52" s="233"/>
      <c r="JR52" s="233"/>
      <c r="JS52" s="233"/>
      <c r="JT52" s="233"/>
      <c r="JU52" s="233"/>
      <c r="JV52" s="233"/>
      <c r="JW52" s="233"/>
      <c r="JX52" s="233"/>
      <c r="JY52" s="233"/>
      <c r="JZ52" s="233"/>
      <c r="KA52" s="233"/>
      <c r="KB52" s="233"/>
      <c r="KC52" s="233"/>
      <c r="KD52" s="233"/>
      <c r="KE52" s="233"/>
      <c r="KF52" s="233"/>
      <c r="KG52" s="233"/>
      <c r="KH52" s="233"/>
      <c r="KI52" s="233"/>
      <c r="KJ52" s="233"/>
      <c r="KK52" s="233"/>
      <c r="KL52" s="233"/>
      <c r="KM52" s="233"/>
      <c r="KN52" s="233"/>
      <c r="KO52" s="233"/>
      <c r="KP52" s="233"/>
      <c r="KQ52" s="233"/>
      <c r="KR52" s="233"/>
      <c r="KS52" s="233"/>
      <c r="KT52" s="233"/>
      <c r="KU52" s="233"/>
      <c r="KV52" s="233"/>
      <c r="KW52" s="233"/>
      <c r="KX52" s="233"/>
      <c r="KY52" s="233"/>
      <c r="KZ52" s="233"/>
      <c r="LA52" s="233"/>
      <c r="LB52" s="233"/>
      <c r="LC52" s="233"/>
      <c r="LD52" s="233"/>
      <c r="LE52" s="233"/>
      <c r="LF52" s="233"/>
      <c r="LG52" s="233"/>
      <c r="LH52" s="233"/>
      <c r="LI52" s="233"/>
      <c r="LJ52" s="233"/>
      <c r="LK52" s="233"/>
      <c r="LL52" s="233"/>
      <c r="LM52" s="233"/>
      <c r="LN52" s="233"/>
      <c r="LO52" s="233"/>
      <c r="LP52" s="233"/>
      <c r="LQ52" s="233"/>
      <c r="LR52" s="233"/>
      <c r="LS52" s="233"/>
      <c r="LT52" s="233"/>
      <c r="LU52" s="233"/>
      <c r="LV52" s="233"/>
      <c r="LW52" s="233"/>
      <c r="LX52" s="233"/>
      <c r="LY52" s="233"/>
      <c r="LZ52" s="233"/>
      <c r="MA52" s="233"/>
    </row>
    <row r="53" spans="1:339" s="47" customFormat="1" ht="60" customHeight="1" x14ac:dyDescent="0.25">
      <c r="A53" s="40" t="s">
        <v>1304</v>
      </c>
      <c r="B53" s="40" t="s">
        <v>1394</v>
      </c>
      <c r="C53" s="48" t="s">
        <v>1420</v>
      </c>
      <c r="D53" s="40" t="s">
        <v>1409</v>
      </c>
      <c r="E53" s="164" t="s">
        <v>1396</v>
      </c>
      <c r="F53" s="90" t="s">
        <v>243</v>
      </c>
      <c r="G53" s="34"/>
      <c r="H53" s="161"/>
      <c r="I53" s="15"/>
      <c r="J53" s="17" t="str">
        <f>IF(H53&gt;0,(H53*VLOOKUP(Lookups!$K$11,Lookups!$M$10:$P$43,4,0)/VLOOKUP(I53,Lookups!$M$10:$P$43,4,0)),"")</f>
        <v/>
      </c>
      <c r="K53" s="161">
        <v>28</v>
      </c>
      <c r="L53" s="15" t="s">
        <v>257</v>
      </c>
      <c r="M53" s="17">
        <f>IF(K53&gt;0,(K53*VLOOKUP(Lookups!$K$11,Lookups!$M$10:$P$43,4,0)/VLOOKUP(L53,Lookups!$M$10:$P$43,4,0)),"")</f>
        <v>33.117150077499574</v>
      </c>
      <c r="N53" s="161"/>
      <c r="O53" s="15"/>
      <c r="P53" s="17" t="str">
        <f>IF(N53&gt;0,(N53*VLOOKUP(Lookups!$K$11,Lookups!$M$10:$P$43,4,0)/VLOOKUP(O53,Lookups!$M$10:$P$43,4,0)),"")</f>
        <v/>
      </c>
      <c r="Q53" s="234" t="s">
        <v>1399</v>
      </c>
      <c r="R53" s="15" t="s">
        <v>152</v>
      </c>
      <c r="S53" s="174" t="s">
        <v>1406</v>
      </c>
      <c r="T53" s="15"/>
      <c r="U53" s="90"/>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c r="BV53" s="233"/>
      <c r="BW53" s="233"/>
      <c r="BX53" s="233"/>
      <c r="BY53" s="233"/>
      <c r="BZ53" s="233"/>
      <c r="CA53" s="233"/>
      <c r="CB53" s="233"/>
      <c r="CC53" s="233"/>
      <c r="CD53" s="233"/>
      <c r="CE53" s="233"/>
      <c r="CF53" s="233"/>
      <c r="CG53" s="233"/>
      <c r="CH53" s="233"/>
      <c r="CI53" s="233"/>
      <c r="CJ53" s="233"/>
      <c r="CK53" s="233"/>
      <c r="CL53" s="233"/>
      <c r="CM53" s="233"/>
      <c r="CN53" s="233"/>
      <c r="CO53" s="233"/>
      <c r="CP53" s="233"/>
      <c r="CQ53" s="233"/>
      <c r="CR53" s="233"/>
      <c r="CS53" s="233"/>
      <c r="CT53" s="233"/>
      <c r="CU53" s="233"/>
      <c r="CV53" s="233"/>
      <c r="CW53" s="233"/>
      <c r="CX53" s="233"/>
      <c r="CY53" s="233"/>
      <c r="CZ53" s="233"/>
      <c r="DA53" s="233"/>
      <c r="DB53" s="233"/>
      <c r="DC53" s="233"/>
      <c r="DD53" s="233"/>
      <c r="DE53" s="233"/>
      <c r="DF53" s="233"/>
      <c r="DG53" s="233"/>
      <c r="DH53" s="233"/>
      <c r="DI53" s="233"/>
      <c r="DJ53" s="233"/>
      <c r="DK53" s="233"/>
      <c r="DL53" s="233"/>
      <c r="DM53" s="233"/>
      <c r="DN53" s="233"/>
      <c r="DO53" s="233"/>
      <c r="DP53" s="233"/>
      <c r="DQ53" s="233"/>
      <c r="DR53" s="233"/>
      <c r="DS53" s="233"/>
      <c r="DT53" s="233"/>
      <c r="DU53" s="233"/>
      <c r="DV53" s="233"/>
      <c r="DW53" s="233"/>
      <c r="DX53" s="233"/>
      <c r="DY53" s="233"/>
      <c r="DZ53" s="233"/>
      <c r="EA53" s="233"/>
      <c r="EB53" s="233"/>
      <c r="EC53" s="233"/>
      <c r="ED53" s="233"/>
      <c r="EE53" s="233"/>
      <c r="EF53" s="233"/>
      <c r="EG53" s="233"/>
      <c r="EH53" s="233"/>
      <c r="EI53" s="233"/>
      <c r="EJ53" s="233"/>
      <c r="EK53" s="233"/>
      <c r="EL53" s="233"/>
      <c r="EM53" s="233"/>
      <c r="EN53" s="233"/>
      <c r="EO53" s="233"/>
      <c r="EP53" s="233"/>
      <c r="EQ53" s="233"/>
      <c r="ER53" s="233"/>
      <c r="ES53" s="233"/>
      <c r="ET53" s="233"/>
      <c r="EU53" s="233"/>
      <c r="EV53" s="233"/>
      <c r="EW53" s="233"/>
      <c r="EX53" s="233"/>
      <c r="EY53" s="233"/>
      <c r="EZ53" s="233"/>
      <c r="FA53" s="233"/>
      <c r="FB53" s="233"/>
      <c r="FC53" s="233"/>
      <c r="FD53" s="233"/>
      <c r="FE53" s="233"/>
      <c r="FF53" s="233"/>
      <c r="FG53" s="233"/>
      <c r="FH53" s="233"/>
      <c r="FI53" s="233"/>
      <c r="FJ53" s="233"/>
      <c r="FK53" s="233"/>
      <c r="FL53" s="233"/>
      <c r="FM53" s="233"/>
      <c r="FN53" s="233"/>
      <c r="FO53" s="233"/>
      <c r="FP53" s="233"/>
      <c r="FQ53" s="233"/>
      <c r="FR53" s="233"/>
      <c r="FS53" s="233"/>
      <c r="FT53" s="233"/>
      <c r="FU53" s="233"/>
      <c r="FV53" s="233"/>
      <c r="FW53" s="233"/>
      <c r="FX53" s="233"/>
      <c r="FY53" s="233"/>
      <c r="FZ53" s="233"/>
      <c r="GA53" s="233"/>
      <c r="GB53" s="233"/>
      <c r="GC53" s="233"/>
      <c r="GD53" s="233"/>
      <c r="GE53" s="233"/>
      <c r="GF53" s="233"/>
      <c r="GG53" s="233"/>
      <c r="GH53" s="233"/>
      <c r="GI53" s="233"/>
      <c r="GJ53" s="233"/>
      <c r="GK53" s="233"/>
      <c r="GL53" s="233"/>
      <c r="GM53" s="233"/>
      <c r="GN53" s="233"/>
      <c r="GO53" s="233"/>
      <c r="GP53" s="233"/>
      <c r="GQ53" s="233"/>
      <c r="GR53" s="233"/>
      <c r="GS53" s="233"/>
      <c r="GT53" s="233"/>
      <c r="GU53" s="233"/>
      <c r="GV53" s="233"/>
      <c r="GW53" s="233"/>
      <c r="GX53" s="233"/>
      <c r="GY53" s="233"/>
      <c r="GZ53" s="233"/>
      <c r="HA53" s="233"/>
      <c r="HB53" s="233"/>
      <c r="HC53" s="233"/>
      <c r="HD53" s="233"/>
      <c r="HE53" s="233"/>
      <c r="HF53" s="233"/>
      <c r="HG53" s="233"/>
      <c r="HH53" s="233"/>
      <c r="HI53" s="233"/>
      <c r="HJ53" s="233"/>
      <c r="HK53" s="233"/>
      <c r="HL53" s="233"/>
      <c r="HM53" s="233"/>
      <c r="HN53" s="233"/>
      <c r="HO53" s="233"/>
      <c r="HP53" s="233"/>
      <c r="HQ53" s="233"/>
      <c r="HR53" s="233"/>
      <c r="HS53" s="233"/>
      <c r="HT53" s="233"/>
      <c r="HU53" s="233"/>
      <c r="HV53" s="233"/>
      <c r="HW53" s="233"/>
      <c r="HX53" s="233"/>
      <c r="HY53" s="233"/>
      <c r="HZ53" s="233"/>
      <c r="IA53" s="233"/>
      <c r="IB53" s="233"/>
      <c r="IC53" s="233"/>
      <c r="ID53" s="233"/>
      <c r="IE53" s="233"/>
      <c r="IF53" s="233"/>
      <c r="IG53" s="233"/>
      <c r="IH53" s="233"/>
      <c r="II53" s="233"/>
      <c r="IJ53" s="233"/>
      <c r="IK53" s="233"/>
      <c r="IL53" s="233"/>
      <c r="IM53" s="233"/>
      <c r="IN53" s="233"/>
      <c r="IO53" s="233"/>
      <c r="IP53" s="233"/>
      <c r="IQ53" s="233"/>
      <c r="IR53" s="233"/>
      <c r="IS53" s="233"/>
      <c r="IT53" s="233"/>
      <c r="IU53" s="233"/>
      <c r="IV53" s="233"/>
      <c r="IW53" s="233"/>
      <c r="IX53" s="233"/>
      <c r="IY53" s="233"/>
      <c r="IZ53" s="233"/>
      <c r="JA53" s="233"/>
      <c r="JB53" s="233"/>
      <c r="JC53" s="233"/>
      <c r="JD53" s="233"/>
      <c r="JE53" s="233"/>
      <c r="JF53" s="233"/>
      <c r="JG53" s="233"/>
      <c r="JH53" s="233"/>
      <c r="JI53" s="233"/>
      <c r="JJ53" s="233"/>
      <c r="JK53" s="233"/>
      <c r="JL53" s="233"/>
      <c r="JM53" s="233"/>
      <c r="JN53" s="233"/>
      <c r="JO53" s="233"/>
      <c r="JP53" s="233"/>
      <c r="JQ53" s="233"/>
      <c r="JR53" s="233"/>
      <c r="JS53" s="233"/>
      <c r="JT53" s="233"/>
      <c r="JU53" s="233"/>
      <c r="JV53" s="233"/>
      <c r="JW53" s="233"/>
      <c r="JX53" s="233"/>
      <c r="JY53" s="233"/>
      <c r="JZ53" s="233"/>
      <c r="KA53" s="233"/>
      <c r="KB53" s="233"/>
      <c r="KC53" s="233"/>
      <c r="KD53" s="233"/>
      <c r="KE53" s="233"/>
      <c r="KF53" s="233"/>
      <c r="KG53" s="233"/>
      <c r="KH53" s="233"/>
      <c r="KI53" s="233"/>
      <c r="KJ53" s="233"/>
      <c r="KK53" s="233"/>
      <c r="KL53" s="233"/>
      <c r="KM53" s="233"/>
      <c r="KN53" s="233"/>
      <c r="KO53" s="233"/>
      <c r="KP53" s="233"/>
      <c r="KQ53" s="233"/>
      <c r="KR53" s="233"/>
      <c r="KS53" s="233"/>
      <c r="KT53" s="233"/>
      <c r="KU53" s="233"/>
      <c r="KV53" s="233"/>
      <c r="KW53" s="233"/>
      <c r="KX53" s="233"/>
      <c r="KY53" s="233"/>
      <c r="KZ53" s="233"/>
      <c r="LA53" s="233"/>
      <c r="LB53" s="233"/>
      <c r="LC53" s="233"/>
      <c r="LD53" s="233"/>
      <c r="LE53" s="233"/>
      <c r="LF53" s="233"/>
      <c r="LG53" s="233"/>
      <c r="LH53" s="233"/>
      <c r="LI53" s="233"/>
      <c r="LJ53" s="233"/>
      <c r="LK53" s="233"/>
      <c r="LL53" s="233"/>
      <c r="LM53" s="233"/>
      <c r="LN53" s="233"/>
      <c r="LO53" s="233"/>
      <c r="LP53" s="233"/>
      <c r="LQ53" s="233"/>
      <c r="LR53" s="233"/>
      <c r="LS53" s="233"/>
      <c r="LT53" s="233"/>
      <c r="LU53" s="233"/>
      <c r="LV53" s="233"/>
      <c r="LW53" s="233"/>
      <c r="LX53" s="233"/>
      <c r="LY53" s="233"/>
      <c r="LZ53" s="233"/>
      <c r="MA53" s="233"/>
    </row>
    <row r="54" spans="1:339" s="56" customFormat="1" ht="60" customHeight="1" collapsed="1" x14ac:dyDescent="0.25">
      <c r="A54" s="40" t="s">
        <v>1304</v>
      </c>
      <c r="B54" s="40" t="s">
        <v>1394</v>
      </c>
      <c r="C54" s="48" t="s">
        <v>1423</v>
      </c>
      <c r="D54" s="40" t="s">
        <v>1416</v>
      </c>
      <c r="E54" s="164" t="s">
        <v>1396</v>
      </c>
      <c r="F54" s="90" t="s">
        <v>243</v>
      </c>
      <c r="G54" s="90"/>
      <c r="H54" s="165"/>
      <c r="I54" s="15"/>
      <c r="J54" s="17" t="str">
        <f>IF(H54&gt;0,(H54*VLOOKUP(Lookups!$K$11,Lookups!$M$10:$P$43,4,0)/VLOOKUP(I54,Lookups!$M$10:$P$43,4,0)),"")</f>
        <v/>
      </c>
      <c r="K54" s="165">
        <v>10</v>
      </c>
      <c r="L54" s="15" t="s">
        <v>257</v>
      </c>
      <c r="M54" s="17">
        <f>IF(K54&gt;0,(K54*VLOOKUP(Lookups!$K$11,Lookups!$M$10:$P$43,4,0)/VLOOKUP(L54,Lookups!$M$10:$P$43,4,0)),"")</f>
        <v>11.827553599106992</v>
      </c>
      <c r="N54" s="165"/>
      <c r="O54" s="15"/>
      <c r="P54" s="17" t="str">
        <f>IF(N54&gt;0,(N54*VLOOKUP(Lookups!$K$11,Lookups!$M$10:$P$43,4,0)/VLOOKUP(O54,Lookups!$M$10:$P$43,4,0)),"")</f>
        <v/>
      </c>
      <c r="Q54" s="234" t="s">
        <v>1399</v>
      </c>
      <c r="R54" s="15" t="s">
        <v>152</v>
      </c>
      <c r="S54" s="174" t="s">
        <v>1418</v>
      </c>
      <c r="T54" s="15"/>
      <c r="U54" s="90"/>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c r="BV54" s="233"/>
      <c r="BW54" s="233"/>
      <c r="BX54" s="233"/>
      <c r="BY54" s="233"/>
      <c r="BZ54" s="233"/>
      <c r="CA54" s="233"/>
      <c r="CB54" s="233"/>
      <c r="CC54" s="233"/>
      <c r="CD54" s="233"/>
      <c r="CE54" s="233"/>
      <c r="CF54" s="233"/>
      <c r="CG54" s="233"/>
      <c r="CH54" s="233"/>
      <c r="CI54" s="233"/>
      <c r="CJ54" s="233"/>
      <c r="CK54" s="233"/>
      <c r="CL54" s="233"/>
      <c r="CM54" s="233"/>
      <c r="CN54" s="233"/>
      <c r="CO54" s="233"/>
      <c r="CP54" s="233"/>
      <c r="CQ54" s="233"/>
      <c r="CR54" s="233"/>
      <c r="CS54" s="233"/>
      <c r="CT54" s="233"/>
      <c r="CU54" s="233"/>
      <c r="CV54" s="233"/>
      <c r="CW54" s="233"/>
      <c r="CX54" s="233"/>
      <c r="CY54" s="233"/>
      <c r="CZ54" s="233"/>
      <c r="DA54" s="233"/>
      <c r="DB54" s="233"/>
      <c r="DC54" s="233"/>
      <c r="DD54" s="233"/>
      <c r="DE54" s="233"/>
      <c r="DF54" s="233"/>
      <c r="DG54" s="233"/>
      <c r="DH54" s="233"/>
      <c r="DI54" s="233"/>
      <c r="DJ54" s="233"/>
      <c r="DK54" s="233"/>
      <c r="DL54" s="233"/>
      <c r="DM54" s="233"/>
      <c r="DN54" s="233"/>
      <c r="DO54" s="233"/>
      <c r="DP54" s="233"/>
      <c r="DQ54" s="233"/>
      <c r="DR54" s="233"/>
      <c r="DS54" s="233"/>
      <c r="DT54" s="233"/>
      <c r="DU54" s="233"/>
      <c r="DV54" s="233"/>
      <c r="DW54" s="233"/>
      <c r="DX54" s="233"/>
      <c r="DY54" s="233"/>
      <c r="DZ54" s="233"/>
      <c r="EA54" s="233"/>
      <c r="EB54" s="233"/>
      <c r="EC54" s="233"/>
      <c r="ED54" s="233"/>
      <c r="EE54" s="233"/>
      <c r="EF54" s="233"/>
      <c r="EG54" s="233"/>
      <c r="EH54" s="233"/>
      <c r="EI54" s="233"/>
      <c r="EJ54" s="233"/>
      <c r="EK54" s="233"/>
      <c r="EL54" s="233"/>
      <c r="EM54" s="233"/>
      <c r="EN54" s="233"/>
      <c r="EO54" s="233"/>
      <c r="EP54" s="233"/>
      <c r="EQ54" s="233"/>
      <c r="ER54" s="233"/>
      <c r="ES54" s="233"/>
      <c r="ET54" s="233"/>
      <c r="EU54" s="233"/>
      <c r="EV54" s="233"/>
      <c r="EW54" s="233"/>
      <c r="EX54" s="233"/>
      <c r="EY54" s="233"/>
      <c r="EZ54" s="233"/>
      <c r="FA54" s="233"/>
      <c r="FB54" s="233"/>
      <c r="FC54" s="233"/>
      <c r="FD54" s="233"/>
      <c r="FE54" s="233"/>
      <c r="FF54" s="233"/>
      <c r="FG54" s="233"/>
      <c r="FH54" s="233"/>
      <c r="FI54" s="233"/>
      <c r="FJ54" s="233"/>
      <c r="FK54" s="233"/>
      <c r="FL54" s="233"/>
      <c r="FM54" s="233"/>
      <c r="FN54" s="233"/>
      <c r="FO54" s="233"/>
      <c r="FP54" s="233"/>
      <c r="FQ54" s="233"/>
      <c r="FR54" s="233"/>
      <c r="FS54" s="233"/>
      <c r="FT54" s="233"/>
      <c r="FU54" s="233"/>
      <c r="FV54" s="233"/>
      <c r="FW54" s="233"/>
      <c r="FX54" s="233"/>
      <c r="FY54" s="233"/>
      <c r="FZ54" s="233"/>
      <c r="GA54" s="233"/>
      <c r="GB54" s="233"/>
      <c r="GC54" s="233"/>
      <c r="GD54" s="233"/>
      <c r="GE54" s="233"/>
      <c r="GF54" s="233"/>
      <c r="GG54" s="233"/>
      <c r="GH54" s="233"/>
      <c r="GI54" s="233"/>
      <c r="GJ54" s="233"/>
      <c r="GK54" s="233"/>
      <c r="GL54" s="233"/>
      <c r="GM54" s="233"/>
      <c r="GN54" s="233"/>
      <c r="GO54" s="233"/>
      <c r="GP54" s="233"/>
      <c r="GQ54" s="233"/>
      <c r="GR54" s="233"/>
      <c r="GS54" s="233"/>
      <c r="GT54" s="233"/>
      <c r="GU54" s="233"/>
      <c r="GV54" s="233"/>
      <c r="GW54" s="233"/>
      <c r="GX54" s="233"/>
      <c r="GY54" s="233"/>
      <c r="GZ54" s="233"/>
      <c r="HA54" s="233"/>
      <c r="HB54" s="233"/>
      <c r="HC54" s="233"/>
      <c r="HD54" s="233"/>
      <c r="HE54" s="233"/>
      <c r="HF54" s="233"/>
      <c r="HG54" s="233"/>
      <c r="HH54" s="233"/>
      <c r="HI54" s="233"/>
      <c r="HJ54" s="233"/>
      <c r="HK54" s="233"/>
      <c r="HL54" s="233"/>
      <c r="HM54" s="233"/>
      <c r="HN54" s="233"/>
      <c r="HO54" s="233"/>
      <c r="HP54" s="233"/>
      <c r="HQ54" s="233"/>
      <c r="HR54" s="233"/>
      <c r="HS54" s="233"/>
      <c r="HT54" s="233"/>
      <c r="HU54" s="233"/>
      <c r="HV54" s="233"/>
      <c r="HW54" s="233"/>
      <c r="HX54" s="233"/>
      <c r="HY54" s="233"/>
      <c r="HZ54" s="233"/>
      <c r="IA54" s="233"/>
      <c r="IB54" s="233"/>
      <c r="IC54" s="233"/>
      <c r="ID54" s="233"/>
      <c r="IE54" s="233"/>
      <c r="IF54" s="233"/>
      <c r="IG54" s="233"/>
      <c r="IH54" s="233"/>
      <c r="II54" s="233"/>
      <c r="IJ54" s="233"/>
      <c r="IK54" s="233"/>
      <c r="IL54" s="233"/>
      <c r="IM54" s="233"/>
      <c r="IN54" s="233"/>
      <c r="IO54" s="233"/>
      <c r="IP54" s="233"/>
      <c r="IQ54" s="233"/>
      <c r="IR54" s="233"/>
      <c r="IS54" s="233"/>
      <c r="IT54" s="233"/>
      <c r="IU54" s="233"/>
      <c r="IV54" s="233"/>
      <c r="IW54" s="233"/>
      <c r="IX54" s="233"/>
      <c r="IY54" s="233"/>
      <c r="IZ54" s="233"/>
      <c r="JA54" s="233"/>
      <c r="JB54" s="233"/>
      <c r="JC54" s="233"/>
      <c r="JD54" s="233"/>
      <c r="JE54" s="233"/>
      <c r="JF54" s="233"/>
      <c r="JG54" s="233"/>
      <c r="JH54" s="233"/>
      <c r="JI54" s="233"/>
      <c r="JJ54" s="233"/>
      <c r="JK54" s="233"/>
      <c r="JL54" s="233"/>
      <c r="JM54" s="233"/>
      <c r="JN54" s="233"/>
      <c r="JO54" s="233"/>
      <c r="JP54" s="233"/>
      <c r="JQ54" s="233"/>
      <c r="JR54" s="233"/>
      <c r="JS54" s="233"/>
      <c r="JT54" s="233"/>
      <c r="JU54" s="233"/>
      <c r="JV54" s="233"/>
      <c r="JW54" s="233"/>
      <c r="JX54" s="233"/>
      <c r="JY54" s="233"/>
      <c r="JZ54" s="233"/>
      <c r="KA54" s="233"/>
      <c r="KB54" s="233"/>
      <c r="KC54" s="233"/>
      <c r="KD54" s="233"/>
      <c r="KE54" s="233"/>
      <c r="KF54" s="233"/>
      <c r="KG54" s="233"/>
      <c r="KH54" s="233"/>
      <c r="KI54" s="233"/>
      <c r="KJ54" s="233"/>
      <c r="KK54" s="233"/>
      <c r="KL54" s="233"/>
      <c r="KM54" s="233"/>
      <c r="KN54" s="233"/>
      <c r="KO54" s="233"/>
      <c r="KP54" s="233"/>
      <c r="KQ54" s="233"/>
      <c r="KR54" s="233"/>
      <c r="KS54" s="233"/>
      <c r="KT54" s="233"/>
      <c r="KU54" s="233"/>
      <c r="KV54" s="233"/>
      <c r="KW54" s="233"/>
      <c r="KX54" s="233"/>
      <c r="KY54" s="233"/>
      <c r="KZ54" s="233"/>
      <c r="LA54" s="233"/>
      <c r="LB54" s="233"/>
      <c r="LC54" s="233"/>
      <c r="LD54" s="233"/>
      <c r="LE54" s="233"/>
      <c r="LF54" s="233"/>
      <c r="LG54" s="233"/>
      <c r="LH54" s="233"/>
      <c r="LI54" s="233"/>
      <c r="LJ54" s="233"/>
      <c r="LK54" s="233"/>
      <c r="LL54" s="233"/>
      <c r="LM54" s="233"/>
      <c r="LN54" s="233"/>
      <c r="LO54" s="233"/>
      <c r="LP54" s="233"/>
      <c r="LQ54" s="233"/>
      <c r="LR54" s="233"/>
      <c r="LS54" s="233"/>
      <c r="LT54" s="233"/>
      <c r="LU54" s="233"/>
      <c r="LV54" s="233"/>
      <c r="LW54" s="233"/>
      <c r="LX54" s="233"/>
      <c r="LY54" s="233"/>
      <c r="LZ54" s="233"/>
      <c r="MA54" s="233"/>
    </row>
    <row r="55" spans="1:339" s="56" customFormat="1" ht="60" hidden="1" customHeight="1" outlineLevel="1" x14ac:dyDescent="0.25">
      <c r="A55" s="50" t="s">
        <v>1304</v>
      </c>
      <c r="B55" s="50" t="s">
        <v>1394</v>
      </c>
      <c r="C55" s="50" t="s">
        <v>1432</v>
      </c>
      <c r="D55" s="50" t="s">
        <v>1417</v>
      </c>
      <c r="E55" s="164" t="s">
        <v>1396</v>
      </c>
      <c r="F55" s="90" t="s">
        <v>243</v>
      </c>
      <c r="G55" s="90"/>
      <c r="H55" s="165"/>
      <c r="I55" s="15"/>
      <c r="J55" s="17" t="str">
        <f>IF(H55&gt;0,(H55*VLOOKUP(Lookups!$K$11,Lookups!$M$10:$P$43,4,0)/VLOOKUP(I55,Lookups!$M$10:$P$43,4,0)),"")</f>
        <v/>
      </c>
      <c r="K55" s="165">
        <v>40</v>
      </c>
      <c r="L55" s="15" t="s">
        <v>257</v>
      </c>
      <c r="M55" s="17">
        <f>IF(K55&gt;0,(K55*VLOOKUP(Lookups!$K$11,Lookups!$M$10:$P$43,4,0)/VLOOKUP(L55,Lookups!$M$10:$P$43,4,0)),"")</f>
        <v>47.310214396427966</v>
      </c>
      <c r="N55" s="165"/>
      <c r="O55" s="15"/>
      <c r="P55" s="17" t="str">
        <f>IF(N55&gt;0,(N55*VLOOKUP(Lookups!$K$11,Lookups!$M$10:$P$43,4,0)/VLOOKUP(O55,Lookups!$M$10:$P$43,4,0)),"")</f>
        <v/>
      </c>
      <c r="Q55" s="234" t="s">
        <v>1399</v>
      </c>
      <c r="R55" s="15" t="s">
        <v>152</v>
      </c>
      <c r="S55" s="174" t="s">
        <v>1419</v>
      </c>
      <c r="T55" s="15"/>
      <c r="U55" s="90"/>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3"/>
      <c r="BR55" s="233"/>
      <c r="BS55" s="233"/>
      <c r="BT55" s="233"/>
      <c r="BU55" s="233"/>
      <c r="BV55" s="233"/>
      <c r="BW55" s="233"/>
      <c r="BX55" s="233"/>
      <c r="BY55" s="233"/>
      <c r="BZ55" s="233"/>
      <c r="CA55" s="233"/>
      <c r="CB55" s="233"/>
      <c r="CC55" s="233"/>
      <c r="CD55" s="233"/>
      <c r="CE55" s="233"/>
      <c r="CF55" s="233"/>
      <c r="CG55" s="233"/>
      <c r="CH55" s="233"/>
      <c r="CI55" s="233"/>
      <c r="CJ55" s="233"/>
      <c r="CK55" s="233"/>
      <c r="CL55" s="233"/>
      <c r="CM55" s="233"/>
      <c r="CN55" s="233"/>
      <c r="CO55" s="233"/>
      <c r="CP55" s="233"/>
      <c r="CQ55" s="233"/>
      <c r="CR55" s="233"/>
      <c r="CS55" s="233"/>
      <c r="CT55" s="233"/>
      <c r="CU55" s="233"/>
      <c r="CV55" s="233"/>
      <c r="CW55" s="233"/>
      <c r="CX55" s="233"/>
      <c r="CY55" s="233"/>
      <c r="CZ55" s="233"/>
      <c r="DA55" s="233"/>
      <c r="DB55" s="233"/>
      <c r="DC55" s="233"/>
      <c r="DD55" s="233"/>
      <c r="DE55" s="233"/>
      <c r="DF55" s="233"/>
      <c r="DG55" s="233"/>
      <c r="DH55" s="233"/>
      <c r="DI55" s="233"/>
      <c r="DJ55" s="233"/>
      <c r="DK55" s="233"/>
      <c r="DL55" s="233"/>
      <c r="DM55" s="233"/>
      <c r="DN55" s="233"/>
      <c r="DO55" s="233"/>
      <c r="DP55" s="233"/>
      <c r="DQ55" s="233"/>
      <c r="DR55" s="233"/>
      <c r="DS55" s="233"/>
      <c r="DT55" s="233"/>
      <c r="DU55" s="233"/>
      <c r="DV55" s="233"/>
      <c r="DW55" s="233"/>
      <c r="DX55" s="233"/>
      <c r="DY55" s="233"/>
      <c r="DZ55" s="233"/>
      <c r="EA55" s="233"/>
      <c r="EB55" s="233"/>
      <c r="EC55" s="233"/>
      <c r="ED55" s="233"/>
      <c r="EE55" s="233"/>
      <c r="EF55" s="233"/>
      <c r="EG55" s="233"/>
      <c r="EH55" s="233"/>
      <c r="EI55" s="233"/>
      <c r="EJ55" s="233"/>
      <c r="EK55" s="233"/>
      <c r="EL55" s="233"/>
      <c r="EM55" s="233"/>
      <c r="EN55" s="233"/>
      <c r="EO55" s="233"/>
      <c r="EP55" s="233"/>
      <c r="EQ55" s="233"/>
      <c r="ER55" s="233"/>
      <c r="ES55" s="233"/>
      <c r="ET55" s="233"/>
      <c r="EU55" s="233"/>
      <c r="EV55" s="233"/>
      <c r="EW55" s="233"/>
      <c r="EX55" s="233"/>
      <c r="EY55" s="233"/>
      <c r="EZ55" s="233"/>
      <c r="FA55" s="233"/>
      <c r="FB55" s="233"/>
      <c r="FC55" s="233"/>
      <c r="FD55" s="233"/>
      <c r="FE55" s="233"/>
      <c r="FF55" s="233"/>
      <c r="FG55" s="233"/>
      <c r="FH55" s="233"/>
      <c r="FI55" s="233"/>
      <c r="FJ55" s="233"/>
      <c r="FK55" s="233"/>
      <c r="FL55" s="233"/>
      <c r="FM55" s="233"/>
      <c r="FN55" s="233"/>
      <c r="FO55" s="233"/>
      <c r="FP55" s="233"/>
      <c r="FQ55" s="233"/>
      <c r="FR55" s="233"/>
      <c r="FS55" s="233"/>
      <c r="FT55" s="233"/>
      <c r="FU55" s="233"/>
      <c r="FV55" s="233"/>
      <c r="FW55" s="233"/>
      <c r="FX55" s="233"/>
      <c r="FY55" s="233"/>
      <c r="FZ55" s="233"/>
      <c r="GA55" s="233"/>
      <c r="GB55" s="233"/>
      <c r="GC55" s="233"/>
      <c r="GD55" s="233"/>
      <c r="GE55" s="233"/>
      <c r="GF55" s="233"/>
      <c r="GG55" s="233"/>
      <c r="GH55" s="233"/>
      <c r="GI55" s="233"/>
      <c r="GJ55" s="233"/>
      <c r="GK55" s="233"/>
      <c r="GL55" s="233"/>
      <c r="GM55" s="233"/>
      <c r="GN55" s="233"/>
      <c r="GO55" s="233"/>
      <c r="GP55" s="233"/>
      <c r="GQ55" s="233"/>
      <c r="GR55" s="233"/>
      <c r="GS55" s="233"/>
      <c r="GT55" s="233"/>
      <c r="GU55" s="233"/>
      <c r="GV55" s="233"/>
      <c r="GW55" s="233"/>
      <c r="GX55" s="233"/>
      <c r="GY55" s="233"/>
      <c r="GZ55" s="233"/>
      <c r="HA55" s="233"/>
      <c r="HB55" s="233"/>
      <c r="HC55" s="233"/>
      <c r="HD55" s="233"/>
      <c r="HE55" s="233"/>
      <c r="HF55" s="233"/>
      <c r="HG55" s="233"/>
      <c r="HH55" s="233"/>
      <c r="HI55" s="233"/>
      <c r="HJ55" s="233"/>
      <c r="HK55" s="233"/>
      <c r="HL55" s="233"/>
      <c r="HM55" s="233"/>
      <c r="HN55" s="233"/>
      <c r="HO55" s="233"/>
      <c r="HP55" s="233"/>
      <c r="HQ55" s="233"/>
      <c r="HR55" s="233"/>
      <c r="HS55" s="233"/>
      <c r="HT55" s="233"/>
      <c r="HU55" s="233"/>
      <c r="HV55" s="233"/>
      <c r="HW55" s="233"/>
      <c r="HX55" s="233"/>
      <c r="HY55" s="233"/>
      <c r="HZ55" s="233"/>
      <c r="IA55" s="233"/>
      <c r="IB55" s="233"/>
      <c r="IC55" s="233"/>
      <c r="ID55" s="233"/>
      <c r="IE55" s="233"/>
      <c r="IF55" s="233"/>
      <c r="IG55" s="233"/>
      <c r="IH55" s="233"/>
      <c r="II55" s="233"/>
      <c r="IJ55" s="233"/>
      <c r="IK55" s="233"/>
      <c r="IL55" s="233"/>
      <c r="IM55" s="233"/>
      <c r="IN55" s="233"/>
      <c r="IO55" s="233"/>
      <c r="IP55" s="233"/>
      <c r="IQ55" s="233"/>
      <c r="IR55" s="233"/>
      <c r="IS55" s="233"/>
      <c r="IT55" s="233"/>
      <c r="IU55" s="233"/>
      <c r="IV55" s="233"/>
      <c r="IW55" s="233"/>
      <c r="IX55" s="233"/>
      <c r="IY55" s="233"/>
      <c r="IZ55" s="233"/>
      <c r="JA55" s="233"/>
      <c r="JB55" s="233"/>
      <c r="JC55" s="233"/>
      <c r="JD55" s="233"/>
      <c r="JE55" s="233"/>
      <c r="JF55" s="233"/>
      <c r="JG55" s="233"/>
      <c r="JH55" s="233"/>
      <c r="JI55" s="233"/>
      <c r="JJ55" s="233"/>
      <c r="JK55" s="233"/>
      <c r="JL55" s="233"/>
      <c r="JM55" s="233"/>
      <c r="JN55" s="233"/>
      <c r="JO55" s="233"/>
      <c r="JP55" s="233"/>
      <c r="JQ55" s="233"/>
      <c r="JR55" s="233"/>
      <c r="JS55" s="233"/>
      <c r="JT55" s="233"/>
      <c r="JU55" s="233"/>
      <c r="JV55" s="233"/>
      <c r="JW55" s="233"/>
      <c r="JX55" s="233"/>
      <c r="JY55" s="233"/>
      <c r="JZ55" s="233"/>
      <c r="KA55" s="233"/>
      <c r="KB55" s="233"/>
      <c r="KC55" s="233"/>
      <c r="KD55" s="233"/>
      <c r="KE55" s="233"/>
      <c r="KF55" s="233"/>
      <c r="KG55" s="233"/>
      <c r="KH55" s="233"/>
      <c r="KI55" s="233"/>
      <c r="KJ55" s="233"/>
      <c r="KK55" s="233"/>
      <c r="KL55" s="233"/>
      <c r="KM55" s="233"/>
      <c r="KN55" s="233"/>
      <c r="KO55" s="233"/>
      <c r="KP55" s="233"/>
      <c r="KQ55" s="233"/>
      <c r="KR55" s="233"/>
      <c r="KS55" s="233"/>
      <c r="KT55" s="233"/>
      <c r="KU55" s="233"/>
      <c r="KV55" s="233"/>
      <c r="KW55" s="233"/>
      <c r="KX55" s="233"/>
      <c r="KY55" s="233"/>
      <c r="KZ55" s="233"/>
      <c r="LA55" s="233"/>
      <c r="LB55" s="233"/>
      <c r="LC55" s="233"/>
      <c r="LD55" s="233"/>
      <c r="LE55" s="233"/>
      <c r="LF55" s="233"/>
      <c r="LG55" s="233"/>
      <c r="LH55" s="233"/>
      <c r="LI55" s="233"/>
      <c r="LJ55" s="233"/>
      <c r="LK55" s="233"/>
      <c r="LL55" s="233"/>
      <c r="LM55" s="233"/>
      <c r="LN55" s="233"/>
      <c r="LO55" s="233"/>
      <c r="LP55" s="233"/>
      <c r="LQ55" s="233"/>
      <c r="LR55" s="233"/>
      <c r="LS55" s="233"/>
      <c r="LT55" s="233"/>
      <c r="LU55" s="233"/>
      <c r="LV55" s="233"/>
      <c r="LW55" s="233"/>
      <c r="LX55" s="233"/>
      <c r="LY55" s="233"/>
      <c r="LZ55" s="233"/>
      <c r="MA55" s="233"/>
    </row>
    <row r="56" spans="1:339" s="54" customFormat="1" ht="60" hidden="1" customHeight="1" outlineLevel="1" x14ac:dyDescent="0.25">
      <c r="A56" s="50" t="s">
        <v>1304</v>
      </c>
      <c r="B56" s="50" t="s">
        <v>1394</v>
      </c>
      <c r="C56" s="50" t="s">
        <v>1433</v>
      </c>
      <c r="D56" s="50" t="s">
        <v>1421</v>
      </c>
      <c r="E56" s="164" t="s">
        <v>1396</v>
      </c>
      <c r="F56" s="90" t="s">
        <v>243</v>
      </c>
      <c r="G56" s="34"/>
      <c r="H56" s="165"/>
      <c r="I56" s="15"/>
      <c r="J56" s="17" t="str">
        <f>IF(H56&gt;0,(H56*VLOOKUP(Lookups!$K$11,Lookups!$M$10:$P$43,4,0)/VLOOKUP(I56,Lookups!$M$10:$P$43,4,0)),"")</f>
        <v/>
      </c>
      <c r="K56" s="165">
        <v>80</v>
      </c>
      <c r="L56" s="15" t="s">
        <v>257</v>
      </c>
      <c r="M56" s="17">
        <f>IF(K56&gt;0,(K56*VLOOKUP(Lookups!$K$11,Lookups!$M$10:$P$43,4,0)/VLOOKUP(L56,Lookups!$M$10:$P$43,4,0)),"")</f>
        <v>94.620428792855932</v>
      </c>
      <c r="N56" s="165"/>
      <c r="O56" s="15"/>
      <c r="P56" s="17" t="str">
        <f>IF(N56&gt;0,(N56*VLOOKUP(Lookups!$K$11,Lookups!$M$10:$P$43,4,0)/VLOOKUP(O56,Lookups!$M$10:$P$43,4,0)),"")</f>
        <v/>
      </c>
      <c r="Q56" s="234" t="s">
        <v>1399</v>
      </c>
      <c r="R56" s="15" t="s">
        <v>152</v>
      </c>
      <c r="S56" s="174" t="s">
        <v>1422</v>
      </c>
      <c r="T56" s="15"/>
      <c r="U56" s="90"/>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3"/>
      <c r="BR56" s="233"/>
      <c r="BS56" s="233"/>
      <c r="BT56" s="233"/>
      <c r="BU56" s="233"/>
      <c r="BV56" s="233"/>
      <c r="BW56" s="233"/>
      <c r="BX56" s="233"/>
      <c r="BY56" s="233"/>
      <c r="BZ56" s="233"/>
      <c r="CA56" s="233"/>
      <c r="CB56" s="233"/>
      <c r="CC56" s="233"/>
      <c r="CD56" s="233"/>
      <c r="CE56" s="233"/>
      <c r="CF56" s="233"/>
      <c r="CG56" s="233"/>
      <c r="CH56" s="233"/>
      <c r="CI56" s="233"/>
      <c r="CJ56" s="233"/>
      <c r="CK56" s="233"/>
      <c r="CL56" s="233"/>
      <c r="CM56" s="233"/>
      <c r="CN56" s="233"/>
      <c r="CO56" s="233"/>
      <c r="CP56" s="233"/>
      <c r="CQ56" s="233"/>
      <c r="CR56" s="233"/>
      <c r="CS56" s="233"/>
      <c r="CT56" s="233"/>
      <c r="CU56" s="233"/>
      <c r="CV56" s="233"/>
      <c r="CW56" s="233"/>
      <c r="CX56" s="233"/>
      <c r="CY56" s="233"/>
      <c r="CZ56" s="233"/>
      <c r="DA56" s="233"/>
      <c r="DB56" s="233"/>
      <c r="DC56" s="233"/>
      <c r="DD56" s="233"/>
      <c r="DE56" s="233"/>
      <c r="DF56" s="233"/>
      <c r="DG56" s="233"/>
      <c r="DH56" s="233"/>
      <c r="DI56" s="233"/>
      <c r="DJ56" s="233"/>
      <c r="DK56" s="233"/>
      <c r="DL56" s="233"/>
      <c r="DM56" s="233"/>
      <c r="DN56" s="233"/>
      <c r="DO56" s="233"/>
      <c r="DP56" s="233"/>
      <c r="DQ56" s="233"/>
      <c r="DR56" s="233"/>
      <c r="DS56" s="233"/>
      <c r="DT56" s="233"/>
      <c r="DU56" s="233"/>
      <c r="DV56" s="233"/>
      <c r="DW56" s="233"/>
      <c r="DX56" s="233"/>
      <c r="DY56" s="233"/>
      <c r="DZ56" s="233"/>
      <c r="EA56" s="233"/>
      <c r="EB56" s="233"/>
      <c r="EC56" s="233"/>
      <c r="ED56" s="233"/>
      <c r="EE56" s="233"/>
      <c r="EF56" s="233"/>
      <c r="EG56" s="233"/>
      <c r="EH56" s="233"/>
      <c r="EI56" s="233"/>
      <c r="EJ56" s="233"/>
      <c r="EK56" s="233"/>
      <c r="EL56" s="233"/>
      <c r="EM56" s="233"/>
      <c r="EN56" s="233"/>
      <c r="EO56" s="233"/>
      <c r="EP56" s="233"/>
      <c r="EQ56" s="233"/>
      <c r="ER56" s="233"/>
      <c r="ES56" s="233"/>
      <c r="ET56" s="233"/>
      <c r="EU56" s="233"/>
      <c r="EV56" s="233"/>
      <c r="EW56" s="233"/>
      <c r="EX56" s="233"/>
      <c r="EY56" s="233"/>
      <c r="EZ56" s="233"/>
      <c r="FA56" s="233"/>
      <c r="FB56" s="233"/>
      <c r="FC56" s="233"/>
      <c r="FD56" s="233"/>
      <c r="FE56" s="233"/>
      <c r="FF56" s="233"/>
      <c r="FG56" s="233"/>
      <c r="FH56" s="233"/>
      <c r="FI56" s="233"/>
      <c r="FJ56" s="233"/>
      <c r="FK56" s="233"/>
      <c r="FL56" s="233"/>
      <c r="FM56" s="233"/>
      <c r="FN56" s="233"/>
      <c r="FO56" s="233"/>
      <c r="FP56" s="233"/>
      <c r="FQ56" s="233"/>
      <c r="FR56" s="233"/>
      <c r="FS56" s="233"/>
      <c r="FT56" s="233"/>
      <c r="FU56" s="233"/>
      <c r="FV56" s="233"/>
      <c r="FW56" s="233"/>
      <c r="FX56" s="233"/>
      <c r="FY56" s="233"/>
      <c r="FZ56" s="233"/>
      <c r="GA56" s="233"/>
      <c r="GB56" s="233"/>
      <c r="GC56" s="233"/>
      <c r="GD56" s="233"/>
      <c r="GE56" s="233"/>
      <c r="GF56" s="233"/>
      <c r="GG56" s="233"/>
      <c r="GH56" s="233"/>
      <c r="GI56" s="233"/>
      <c r="GJ56" s="233"/>
      <c r="GK56" s="233"/>
      <c r="GL56" s="233"/>
      <c r="GM56" s="233"/>
      <c r="GN56" s="233"/>
      <c r="GO56" s="233"/>
      <c r="GP56" s="233"/>
      <c r="GQ56" s="233"/>
      <c r="GR56" s="233"/>
      <c r="GS56" s="233"/>
      <c r="GT56" s="233"/>
      <c r="GU56" s="233"/>
      <c r="GV56" s="233"/>
      <c r="GW56" s="233"/>
      <c r="GX56" s="233"/>
      <c r="GY56" s="233"/>
      <c r="GZ56" s="233"/>
      <c r="HA56" s="233"/>
      <c r="HB56" s="233"/>
      <c r="HC56" s="233"/>
      <c r="HD56" s="233"/>
      <c r="HE56" s="233"/>
      <c r="HF56" s="233"/>
      <c r="HG56" s="233"/>
      <c r="HH56" s="233"/>
      <c r="HI56" s="233"/>
      <c r="HJ56" s="233"/>
      <c r="HK56" s="233"/>
      <c r="HL56" s="233"/>
      <c r="HM56" s="233"/>
      <c r="HN56" s="233"/>
      <c r="HO56" s="233"/>
      <c r="HP56" s="233"/>
      <c r="HQ56" s="233"/>
      <c r="HR56" s="233"/>
      <c r="HS56" s="233"/>
      <c r="HT56" s="233"/>
      <c r="HU56" s="233"/>
      <c r="HV56" s="233"/>
      <c r="HW56" s="233"/>
      <c r="HX56" s="233"/>
      <c r="HY56" s="233"/>
      <c r="HZ56" s="233"/>
      <c r="IA56" s="233"/>
      <c r="IB56" s="233"/>
      <c r="IC56" s="233"/>
      <c r="ID56" s="233"/>
      <c r="IE56" s="233"/>
      <c r="IF56" s="233"/>
      <c r="IG56" s="233"/>
      <c r="IH56" s="233"/>
      <c r="II56" s="233"/>
      <c r="IJ56" s="233"/>
      <c r="IK56" s="233"/>
      <c r="IL56" s="233"/>
      <c r="IM56" s="233"/>
      <c r="IN56" s="233"/>
      <c r="IO56" s="233"/>
      <c r="IP56" s="233"/>
      <c r="IQ56" s="233"/>
      <c r="IR56" s="233"/>
      <c r="IS56" s="233"/>
      <c r="IT56" s="233"/>
      <c r="IU56" s="233"/>
      <c r="IV56" s="233"/>
      <c r="IW56" s="233"/>
      <c r="IX56" s="233"/>
      <c r="IY56" s="233"/>
      <c r="IZ56" s="233"/>
      <c r="JA56" s="233"/>
      <c r="JB56" s="233"/>
      <c r="JC56" s="233"/>
      <c r="JD56" s="233"/>
      <c r="JE56" s="233"/>
      <c r="JF56" s="233"/>
      <c r="JG56" s="233"/>
      <c r="JH56" s="233"/>
      <c r="JI56" s="233"/>
      <c r="JJ56" s="233"/>
      <c r="JK56" s="233"/>
      <c r="JL56" s="233"/>
      <c r="JM56" s="233"/>
      <c r="JN56" s="233"/>
      <c r="JO56" s="233"/>
      <c r="JP56" s="233"/>
      <c r="JQ56" s="233"/>
      <c r="JR56" s="233"/>
      <c r="JS56" s="233"/>
      <c r="JT56" s="233"/>
      <c r="JU56" s="233"/>
      <c r="JV56" s="233"/>
      <c r="JW56" s="233"/>
      <c r="JX56" s="233"/>
      <c r="JY56" s="233"/>
      <c r="JZ56" s="233"/>
      <c r="KA56" s="233"/>
      <c r="KB56" s="233"/>
      <c r="KC56" s="233"/>
      <c r="KD56" s="233"/>
      <c r="KE56" s="233"/>
      <c r="KF56" s="233"/>
      <c r="KG56" s="233"/>
      <c r="KH56" s="233"/>
      <c r="KI56" s="233"/>
      <c r="KJ56" s="233"/>
      <c r="KK56" s="233"/>
      <c r="KL56" s="233"/>
      <c r="KM56" s="233"/>
      <c r="KN56" s="233"/>
      <c r="KO56" s="233"/>
      <c r="KP56" s="233"/>
      <c r="KQ56" s="233"/>
      <c r="KR56" s="233"/>
      <c r="KS56" s="233"/>
      <c r="KT56" s="233"/>
      <c r="KU56" s="233"/>
      <c r="KV56" s="233"/>
      <c r="KW56" s="233"/>
      <c r="KX56" s="233"/>
      <c r="KY56" s="233"/>
      <c r="KZ56" s="233"/>
      <c r="LA56" s="233"/>
      <c r="LB56" s="233"/>
      <c r="LC56" s="233"/>
      <c r="LD56" s="233"/>
      <c r="LE56" s="233"/>
      <c r="LF56" s="233"/>
      <c r="LG56" s="233"/>
      <c r="LH56" s="233"/>
      <c r="LI56" s="233"/>
      <c r="LJ56" s="233"/>
      <c r="LK56" s="233"/>
      <c r="LL56" s="233"/>
      <c r="LM56" s="233"/>
      <c r="LN56" s="233"/>
      <c r="LO56" s="233"/>
      <c r="LP56" s="233"/>
      <c r="LQ56" s="233"/>
      <c r="LR56" s="233"/>
      <c r="LS56" s="233"/>
      <c r="LT56" s="233"/>
      <c r="LU56" s="233"/>
      <c r="LV56" s="233"/>
      <c r="LW56" s="233"/>
      <c r="LX56" s="233"/>
      <c r="LY56" s="233"/>
      <c r="LZ56" s="233"/>
      <c r="MA56" s="233"/>
    </row>
    <row r="57" spans="1:339" s="54" customFormat="1" ht="60" hidden="1" customHeight="1" outlineLevel="1" x14ac:dyDescent="0.25">
      <c r="A57" s="50" t="s">
        <v>1304</v>
      </c>
      <c r="B57" s="50" t="s">
        <v>1429</v>
      </c>
      <c r="C57" s="50" t="s">
        <v>1434</v>
      </c>
      <c r="D57" s="50" t="s">
        <v>1436</v>
      </c>
      <c r="E57" s="164" t="s">
        <v>1410</v>
      </c>
      <c r="F57" s="90" t="s">
        <v>243</v>
      </c>
      <c r="G57" s="34"/>
      <c r="H57" s="165"/>
      <c r="I57" s="15"/>
      <c r="J57" s="17" t="str">
        <f>IF(H57&gt;0,(H57*VLOOKUP(Lookups!$K$11,Lookups!$M$10:$P$43,4,0)/VLOOKUP(I57,Lookups!$M$10:$P$43,4,0)),"")</f>
        <v/>
      </c>
      <c r="K57" s="193">
        <f>500*K14</f>
        <v>9.7888582529806492</v>
      </c>
      <c r="L57" s="15" t="s">
        <v>260</v>
      </c>
      <c r="M57" s="17">
        <f>IF(K57&gt;0,(K57*VLOOKUP(Lookups!$K$11,Lookups!$M$10:$P$43,4,0)/VLOOKUP(L57,Lookups!$M$10:$P$43,4,0)),"")</f>
        <v>10.919709520557973</v>
      </c>
      <c r="N57" s="165"/>
      <c r="O57" s="15"/>
      <c r="P57" s="17" t="str">
        <f>IF(N57&gt;0,(N57*VLOOKUP(Lookups!$K$11,Lookups!$M$10:$P$43,4,0)/VLOOKUP(O57,Lookups!$M$10:$P$43,4,0)),"")</f>
        <v/>
      </c>
      <c r="Q57" s="234" t="s">
        <v>2376</v>
      </c>
      <c r="R57" s="15" t="s">
        <v>154</v>
      </c>
      <c r="S57" s="174" t="s">
        <v>2363</v>
      </c>
      <c r="T57" s="15" t="s">
        <v>923</v>
      </c>
      <c r="U57" s="90" t="s">
        <v>2281</v>
      </c>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3"/>
      <c r="BR57" s="233"/>
      <c r="BS57" s="233"/>
      <c r="BT57" s="233"/>
      <c r="BU57" s="233"/>
      <c r="BV57" s="233"/>
      <c r="BW57" s="233"/>
      <c r="BX57" s="233"/>
      <c r="BY57" s="233"/>
      <c r="BZ57" s="233"/>
      <c r="CA57" s="233"/>
      <c r="CB57" s="233"/>
      <c r="CC57" s="233"/>
      <c r="CD57" s="233"/>
      <c r="CE57" s="233"/>
      <c r="CF57" s="233"/>
      <c r="CG57" s="233"/>
      <c r="CH57" s="233"/>
      <c r="CI57" s="233"/>
      <c r="CJ57" s="233"/>
      <c r="CK57" s="233"/>
      <c r="CL57" s="233"/>
      <c r="CM57" s="233"/>
      <c r="CN57" s="233"/>
      <c r="CO57" s="233"/>
      <c r="CP57" s="233"/>
      <c r="CQ57" s="233"/>
      <c r="CR57" s="233"/>
      <c r="CS57" s="233"/>
      <c r="CT57" s="233"/>
      <c r="CU57" s="233"/>
      <c r="CV57" s="233"/>
      <c r="CW57" s="233"/>
      <c r="CX57" s="233"/>
      <c r="CY57" s="233"/>
      <c r="CZ57" s="233"/>
      <c r="DA57" s="233"/>
      <c r="DB57" s="233"/>
      <c r="DC57" s="233"/>
      <c r="DD57" s="233"/>
      <c r="DE57" s="233"/>
      <c r="DF57" s="233"/>
      <c r="DG57" s="233"/>
      <c r="DH57" s="233"/>
      <c r="DI57" s="233"/>
      <c r="DJ57" s="233"/>
      <c r="DK57" s="233"/>
      <c r="DL57" s="233"/>
      <c r="DM57" s="233"/>
      <c r="DN57" s="233"/>
      <c r="DO57" s="233"/>
      <c r="DP57" s="233"/>
      <c r="DQ57" s="233"/>
      <c r="DR57" s="233"/>
      <c r="DS57" s="233"/>
      <c r="DT57" s="233"/>
      <c r="DU57" s="233"/>
      <c r="DV57" s="233"/>
      <c r="DW57" s="233"/>
      <c r="DX57" s="233"/>
      <c r="DY57" s="233"/>
      <c r="DZ57" s="233"/>
      <c r="EA57" s="233"/>
      <c r="EB57" s="233"/>
      <c r="EC57" s="233"/>
      <c r="ED57" s="233"/>
      <c r="EE57" s="233"/>
      <c r="EF57" s="233"/>
      <c r="EG57" s="233"/>
      <c r="EH57" s="233"/>
      <c r="EI57" s="233"/>
      <c r="EJ57" s="233"/>
      <c r="EK57" s="233"/>
      <c r="EL57" s="233"/>
      <c r="EM57" s="233"/>
      <c r="EN57" s="233"/>
      <c r="EO57" s="233"/>
      <c r="EP57" s="233"/>
      <c r="EQ57" s="233"/>
      <c r="ER57" s="233"/>
      <c r="ES57" s="233"/>
      <c r="ET57" s="233"/>
      <c r="EU57" s="233"/>
      <c r="EV57" s="233"/>
      <c r="EW57" s="233"/>
      <c r="EX57" s="233"/>
      <c r="EY57" s="233"/>
      <c r="EZ57" s="233"/>
      <c r="FA57" s="233"/>
      <c r="FB57" s="233"/>
      <c r="FC57" s="233"/>
      <c r="FD57" s="233"/>
      <c r="FE57" s="233"/>
      <c r="FF57" s="233"/>
      <c r="FG57" s="233"/>
      <c r="FH57" s="233"/>
      <c r="FI57" s="233"/>
      <c r="FJ57" s="233"/>
      <c r="FK57" s="233"/>
      <c r="FL57" s="233"/>
      <c r="FM57" s="233"/>
      <c r="FN57" s="233"/>
      <c r="FO57" s="233"/>
      <c r="FP57" s="233"/>
      <c r="FQ57" s="233"/>
      <c r="FR57" s="233"/>
      <c r="FS57" s="233"/>
      <c r="FT57" s="233"/>
      <c r="FU57" s="233"/>
      <c r="FV57" s="233"/>
      <c r="FW57" s="233"/>
      <c r="FX57" s="233"/>
      <c r="FY57" s="233"/>
      <c r="FZ57" s="233"/>
      <c r="GA57" s="233"/>
      <c r="GB57" s="233"/>
      <c r="GC57" s="233"/>
      <c r="GD57" s="233"/>
      <c r="GE57" s="233"/>
      <c r="GF57" s="233"/>
      <c r="GG57" s="233"/>
      <c r="GH57" s="233"/>
      <c r="GI57" s="233"/>
      <c r="GJ57" s="233"/>
      <c r="GK57" s="233"/>
      <c r="GL57" s="233"/>
      <c r="GM57" s="233"/>
      <c r="GN57" s="233"/>
      <c r="GO57" s="233"/>
      <c r="GP57" s="233"/>
      <c r="GQ57" s="233"/>
      <c r="GR57" s="233"/>
      <c r="GS57" s="233"/>
      <c r="GT57" s="233"/>
      <c r="GU57" s="233"/>
      <c r="GV57" s="233"/>
      <c r="GW57" s="233"/>
      <c r="GX57" s="233"/>
      <c r="GY57" s="233"/>
      <c r="GZ57" s="233"/>
      <c r="HA57" s="233"/>
      <c r="HB57" s="233"/>
      <c r="HC57" s="233"/>
      <c r="HD57" s="233"/>
      <c r="HE57" s="233"/>
      <c r="HF57" s="233"/>
      <c r="HG57" s="233"/>
      <c r="HH57" s="233"/>
      <c r="HI57" s="233"/>
      <c r="HJ57" s="233"/>
      <c r="HK57" s="233"/>
      <c r="HL57" s="233"/>
      <c r="HM57" s="233"/>
      <c r="HN57" s="233"/>
      <c r="HO57" s="233"/>
      <c r="HP57" s="233"/>
      <c r="HQ57" s="233"/>
      <c r="HR57" s="233"/>
      <c r="HS57" s="233"/>
      <c r="HT57" s="233"/>
      <c r="HU57" s="233"/>
      <c r="HV57" s="233"/>
      <c r="HW57" s="233"/>
      <c r="HX57" s="233"/>
      <c r="HY57" s="233"/>
      <c r="HZ57" s="233"/>
      <c r="IA57" s="233"/>
      <c r="IB57" s="233"/>
      <c r="IC57" s="233"/>
      <c r="ID57" s="233"/>
      <c r="IE57" s="233"/>
      <c r="IF57" s="233"/>
      <c r="IG57" s="233"/>
      <c r="IH57" s="233"/>
      <c r="II57" s="233"/>
      <c r="IJ57" s="233"/>
      <c r="IK57" s="233"/>
      <c r="IL57" s="233"/>
      <c r="IM57" s="233"/>
      <c r="IN57" s="233"/>
      <c r="IO57" s="233"/>
      <c r="IP57" s="233"/>
      <c r="IQ57" s="233"/>
      <c r="IR57" s="233"/>
      <c r="IS57" s="233"/>
      <c r="IT57" s="233"/>
      <c r="IU57" s="233"/>
      <c r="IV57" s="233"/>
      <c r="IW57" s="233"/>
      <c r="IX57" s="233"/>
      <c r="IY57" s="233"/>
      <c r="IZ57" s="233"/>
      <c r="JA57" s="233"/>
      <c r="JB57" s="233"/>
      <c r="JC57" s="233"/>
      <c r="JD57" s="233"/>
      <c r="JE57" s="233"/>
      <c r="JF57" s="233"/>
      <c r="JG57" s="233"/>
      <c r="JH57" s="233"/>
      <c r="JI57" s="233"/>
      <c r="JJ57" s="233"/>
      <c r="JK57" s="233"/>
      <c r="JL57" s="233"/>
      <c r="JM57" s="233"/>
      <c r="JN57" s="233"/>
      <c r="JO57" s="233"/>
      <c r="JP57" s="233"/>
      <c r="JQ57" s="233"/>
      <c r="JR57" s="233"/>
      <c r="JS57" s="233"/>
      <c r="JT57" s="233"/>
      <c r="JU57" s="233"/>
      <c r="JV57" s="233"/>
      <c r="JW57" s="233"/>
      <c r="JX57" s="233"/>
      <c r="JY57" s="233"/>
      <c r="JZ57" s="233"/>
      <c r="KA57" s="233"/>
      <c r="KB57" s="233"/>
      <c r="KC57" s="233"/>
      <c r="KD57" s="233"/>
      <c r="KE57" s="233"/>
      <c r="KF57" s="233"/>
      <c r="KG57" s="233"/>
      <c r="KH57" s="233"/>
      <c r="KI57" s="233"/>
      <c r="KJ57" s="233"/>
      <c r="KK57" s="233"/>
      <c r="KL57" s="233"/>
      <c r="KM57" s="233"/>
      <c r="KN57" s="233"/>
      <c r="KO57" s="233"/>
      <c r="KP57" s="233"/>
      <c r="KQ57" s="233"/>
      <c r="KR57" s="233"/>
      <c r="KS57" s="233"/>
      <c r="KT57" s="233"/>
      <c r="KU57" s="233"/>
      <c r="KV57" s="233"/>
      <c r="KW57" s="233"/>
      <c r="KX57" s="233"/>
      <c r="KY57" s="233"/>
      <c r="KZ57" s="233"/>
      <c r="LA57" s="233"/>
      <c r="LB57" s="233"/>
      <c r="LC57" s="233"/>
      <c r="LD57" s="233"/>
      <c r="LE57" s="233"/>
      <c r="LF57" s="233"/>
      <c r="LG57" s="233"/>
      <c r="LH57" s="233"/>
      <c r="LI57" s="233"/>
      <c r="LJ57" s="233"/>
      <c r="LK57" s="233"/>
      <c r="LL57" s="233"/>
      <c r="LM57" s="233"/>
      <c r="LN57" s="233"/>
      <c r="LO57" s="233"/>
      <c r="LP57" s="233"/>
      <c r="LQ57" s="233"/>
      <c r="LR57" s="233"/>
      <c r="LS57" s="233"/>
      <c r="LT57" s="233"/>
      <c r="LU57" s="233"/>
      <c r="LV57" s="233"/>
      <c r="LW57" s="233"/>
      <c r="LX57" s="233"/>
      <c r="LY57" s="233"/>
      <c r="LZ57" s="233"/>
      <c r="MA57" s="233"/>
    </row>
    <row r="58" spans="1:339" s="54" customFormat="1" ht="60" hidden="1" customHeight="1" outlineLevel="1" x14ac:dyDescent="0.25">
      <c r="A58" s="50" t="s">
        <v>1304</v>
      </c>
      <c r="B58" s="50" t="s">
        <v>1429</v>
      </c>
      <c r="C58" s="50" t="s">
        <v>1443</v>
      </c>
      <c r="D58" s="50" t="s">
        <v>1435</v>
      </c>
      <c r="E58" s="164" t="s">
        <v>1410</v>
      </c>
      <c r="F58" s="90" t="s">
        <v>243</v>
      </c>
      <c r="G58" s="34"/>
      <c r="H58" s="165"/>
      <c r="I58" s="15"/>
      <c r="J58" s="17" t="str">
        <f>IF(H58&gt;0,(H58*VLOOKUP(Lookups!$K$11,Lookups!$M$10:$P$43,4,0)/VLOOKUP(I58,Lookups!$M$10:$P$43,4,0)),"")</f>
        <v/>
      </c>
      <c r="K58" s="200">
        <f>500*K17</f>
        <v>22.75648</v>
      </c>
      <c r="L58" s="15" t="s">
        <v>260</v>
      </c>
      <c r="M58" s="111">
        <f>IF(K58&gt;0,(K58*VLOOKUP(Lookups!$K$11,Lookups!$M$10:$P$43,4,0)/VLOOKUP(L58,Lookups!$M$10:$P$43,4,0)),"")</f>
        <v>25.385407050380174</v>
      </c>
      <c r="N58" s="200">
        <f>500*N18</f>
        <v>0.79916792315017993</v>
      </c>
      <c r="O58" s="15" t="s">
        <v>260</v>
      </c>
      <c r="P58" s="111">
        <f>IF(N58&gt;0,(N58*VLOOKUP(Lookups!$K$11,Lookups!$M$10:$P$43,4,0)/VLOOKUP(O58,Lookups!$M$10:$P$43,4,0)),"")</f>
        <v>0.89149126010587998</v>
      </c>
      <c r="Q58" s="234" t="s">
        <v>2376</v>
      </c>
      <c r="R58" s="15" t="s">
        <v>154</v>
      </c>
      <c r="S58" s="174" t="s">
        <v>2379</v>
      </c>
      <c r="T58" s="15" t="s">
        <v>923</v>
      </c>
      <c r="U58" s="90" t="s">
        <v>2281</v>
      </c>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3"/>
      <c r="BR58" s="233"/>
      <c r="BS58" s="233"/>
      <c r="BT58" s="233"/>
      <c r="BU58" s="233"/>
      <c r="BV58" s="233"/>
      <c r="BW58" s="233"/>
      <c r="BX58" s="233"/>
      <c r="BY58" s="233"/>
      <c r="BZ58" s="233"/>
      <c r="CA58" s="233"/>
      <c r="CB58" s="233"/>
      <c r="CC58" s="233"/>
      <c r="CD58" s="233"/>
      <c r="CE58" s="233"/>
      <c r="CF58" s="233"/>
      <c r="CG58" s="233"/>
      <c r="CH58" s="233"/>
      <c r="CI58" s="233"/>
      <c r="CJ58" s="233"/>
      <c r="CK58" s="233"/>
      <c r="CL58" s="233"/>
      <c r="CM58" s="233"/>
      <c r="CN58" s="233"/>
      <c r="CO58" s="233"/>
      <c r="CP58" s="233"/>
      <c r="CQ58" s="233"/>
      <c r="CR58" s="233"/>
      <c r="CS58" s="233"/>
      <c r="CT58" s="233"/>
      <c r="CU58" s="233"/>
      <c r="CV58" s="233"/>
      <c r="CW58" s="233"/>
      <c r="CX58" s="233"/>
      <c r="CY58" s="233"/>
      <c r="CZ58" s="233"/>
      <c r="DA58" s="233"/>
      <c r="DB58" s="233"/>
      <c r="DC58" s="233"/>
      <c r="DD58" s="233"/>
      <c r="DE58" s="233"/>
      <c r="DF58" s="233"/>
      <c r="DG58" s="233"/>
      <c r="DH58" s="233"/>
      <c r="DI58" s="233"/>
      <c r="DJ58" s="233"/>
      <c r="DK58" s="233"/>
      <c r="DL58" s="233"/>
      <c r="DM58" s="233"/>
      <c r="DN58" s="233"/>
      <c r="DO58" s="233"/>
      <c r="DP58" s="233"/>
      <c r="DQ58" s="233"/>
      <c r="DR58" s="233"/>
      <c r="DS58" s="233"/>
      <c r="DT58" s="233"/>
      <c r="DU58" s="233"/>
      <c r="DV58" s="233"/>
      <c r="DW58" s="233"/>
      <c r="DX58" s="233"/>
      <c r="DY58" s="233"/>
      <c r="DZ58" s="233"/>
      <c r="EA58" s="233"/>
      <c r="EB58" s="233"/>
      <c r="EC58" s="233"/>
      <c r="ED58" s="233"/>
      <c r="EE58" s="233"/>
      <c r="EF58" s="233"/>
      <c r="EG58" s="233"/>
      <c r="EH58" s="233"/>
      <c r="EI58" s="233"/>
      <c r="EJ58" s="233"/>
      <c r="EK58" s="233"/>
      <c r="EL58" s="233"/>
      <c r="EM58" s="233"/>
      <c r="EN58" s="233"/>
      <c r="EO58" s="233"/>
      <c r="EP58" s="233"/>
      <c r="EQ58" s="233"/>
      <c r="ER58" s="233"/>
      <c r="ES58" s="233"/>
      <c r="ET58" s="233"/>
      <c r="EU58" s="233"/>
      <c r="EV58" s="233"/>
      <c r="EW58" s="233"/>
      <c r="EX58" s="233"/>
      <c r="EY58" s="233"/>
      <c r="EZ58" s="233"/>
      <c r="FA58" s="233"/>
      <c r="FB58" s="233"/>
      <c r="FC58" s="233"/>
      <c r="FD58" s="233"/>
      <c r="FE58" s="233"/>
      <c r="FF58" s="233"/>
      <c r="FG58" s="233"/>
      <c r="FH58" s="233"/>
      <c r="FI58" s="233"/>
      <c r="FJ58" s="233"/>
      <c r="FK58" s="233"/>
      <c r="FL58" s="233"/>
      <c r="FM58" s="233"/>
      <c r="FN58" s="233"/>
      <c r="FO58" s="233"/>
      <c r="FP58" s="233"/>
      <c r="FQ58" s="233"/>
      <c r="FR58" s="233"/>
      <c r="FS58" s="233"/>
      <c r="FT58" s="233"/>
      <c r="FU58" s="233"/>
      <c r="FV58" s="233"/>
      <c r="FW58" s="233"/>
      <c r="FX58" s="233"/>
      <c r="FY58" s="233"/>
      <c r="FZ58" s="233"/>
      <c r="GA58" s="233"/>
      <c r="GB58" s="233"/>
      <c r="GC58" s="233"/>
      <c r="GD58" s="233"/>
      <c r="GE58" s="233"/>
      <c r="GF58" s="233"/>
      <c r="GG58" s="233"/>
      <c r="GH58" s="233"/>
      <c r="GI58" s="233"/>
      <c r="GJ58" s="233"/>
      <c r="GK58" s="233"/>
      <c r="GL58" s="233"/>
      <c r="GM58" s="233"/>
      <c r="GN58" s="233"/>
      <c r="GO58" s="233"/>
      <c r="GP58" s="233"/>
      <c r="GQ58" s="233"/>
      <c r="GR58" s="233"/>
      <c r="GS58" s="233"/>
      <c r="GT58" s="233"/>
      <c r="GU58" s="233"/>
      <c r="GV58" s="233"/>
      <c r="GW58" s="233"/>
      <c r="GX58" s="233"/>
      <c r="GY58" s="233"/>
      <c r="GZ58" s="233"/>
      <c r="HA58" s="233"/>
      <c r="HB58" s="233"/>
      <c r="HC58" s="233"/>
      <c r="HD58" s="233"/>
      <c r="HE58" s="233"/>
      <c r="HF58" s="233"/>
      <c r="HG58" s="233"/>
      <c r="HH58" s="233"/>
      <c r="HI58" s="233"/>
      <c r="HJ58" s="233"/>
      <c r="HK58" s="233"/>
      <c r="HL58" s="233"/>
      <c r="HM58" s="233"/>
      <c r="HN58" s="233"/>
      <c r="HO58" s="233"/>
      <c r="HP58" s="233"/>
      <c r="HQ58" s="233"/>
      <c r="HR58" s="233"/>
      <c r="HS58" s="233"/>
      <c r="HT58" s="233"/>
      <c r="HU58" s="233"/>
      <c r="HV58" s="233"/>
      <c r="HW58" s="233"/>
      <c r="HX58" s="233"/>
      <c r="HY58" s="233"/>
      <c r="HZ58" s="233"/>
      <c r="IA58" s="233"/>
      <c r="IB58" s="233"/>
      <c r="IC58" s="233"/>
      <c r="ID58" s="233"/>
      <c r="IE58" s="233"/>
      <c r="IF58" s="233"/>
      <c r="IG58" s="233"/>
      <c r="IH58" s="233"/>
      <c r="II58" s="233"/>
      <c r="IJ58" s="233"/>
      <c r="IK58" s="233"/>
      <c r="IL58" s="233"/>
      <c r="IM58" s="233"/>
      <c r="IN58" s="233"/>
      <c r="IO58" s="233"/>
      <c r="IP58" s="233"/>
      <c r="IQ58" s="233"/>
      <c r="IR58" s="233"/>
      <c r="IS58" s="233"/>
      <c r="IT58" s="233"/>
      <c r="IU58" s="233"/>
      <c r="IV58" s="233"/>
      <c r="IW58" s="233"/>
      <c r="IX58" s="233"/>
      <c r="IY58" s="233"/>
      <c r="IZ58" s="233"/>
      <c r="JA58" s="233"/>
      <c r="JB58" s="233"/>
      <c r="JC58" s="233"/>
      <c r="JD58" s="233"/>
      <c r="JE58" s="233"/>
      <c r="JF58" s="233"/>
      <c r="JG58" s="233"/>
      <c r="JH58" s="233"/>
      <c r="JI58" s="233"/>
      <c r="JJ58" s="233"/>
      <c r="JK58" s="233"/>
      <c r="JL58" s="233"/>
      <c r="JM58" s="233"/>
      <c r="JN58" s="233"/>
      <c r="JO58" s="233"/>
      <c r="JP58" s="233"/>
      <c r="JQ58" s="233"/>
      <c r="JR58" s="233"/>
      <c r="JS58" s="233"/>
      <c r="JT58" s="233"/>
      <c r="JU58" s="233"/>
      <c r="JV58" s="233"/>
      <c r="JW58" s="233"/>
      <c r="JX58" s="233"/>
      <c r="JY58" s="233"/>
      <c r="JZ58" s="233"/>
      <c r="KA58" s="233"/>
      <c r="KB58" s="233"/>
      <c r="KC58" s="233"/>
      <c r="KD58" s="233"/>
      <c r="KE58" s="233"/>
      <c r="KF58" s="233"/>
      <c r="KG58" s="233"/>
      <c r="KH58" s="233"/>
      <c r="KI58" s="233"/>
      <c r="KJ58" s="233"/>
      <c r="KK58" s="233"/>
      <c r="KL58" s="233"/>
      <c r="KM58" s="233"/>
      <c r="KN58" s="233"/>
      <c r="KO58" s="233"/>
      <c r="KP58" s="233"/>
      <c r="KQ58" s="233"/>
      <c r="KR58" s="233"/>
      <c r="KS58" s="233"/>
      <c r="KT58" s="233"/>
      <c r="KU58" s="233"/>
      <c r="KV58" s="233"/>
      <c r="KW58" s="233"/>
      <c r="KX58" s="233"/>
      <c r="KY58" s="233"/>
      <c r="KZ58" s="233"/>
      <c r="LA58" s="233"/>
      <c r="LB58" s="233"/>
      <c r="LC58" s="233"/>
      <c r="LD58" s="233"/>
      <c r="LE58" s="233"/>
      <c r="LF58" s="233"/>
      <c r="LG58" s="233"/>
      <c r="LH58" s="233"/>
      <c r="LI58" s="233"/>
      <c r="LJ58" s="233"/>
      <c r="LK58" s="233"/>
      <c r="LL58" s="233"/>
      <c r="LM58" s="233"/>
      <c r="LN58" s="233"/>
      <c r="LO58" s="233"/>
      <c r="LP58" s="233"/>
      <c r="LQ58" s="233"/>
      <c r="LR58" s="233"/>
      <c r="LS58" s="233"/>
      <c r="LT58" s="233"/>
      <c r="LU58" s="233"/>
      <c r="LV58" s="233"/>
      <c r="LW58" s="233"/>
      <c r="LX58" s="233"/>
      <c r="LY58" s="233"/>
      <c r="LZ58" s="233"/>
      <c r="MA58" s="233"/>
    </row>
    <row r="59" spans="1:339" s="54" customFormat="1" ht="60" customHeight="1" collapsed="1" x14ac:dyDescent="0.25">
      <c r="A59" s="40" t="s">
        <v>1304</v>
      </c>
      <c r="B59" s="40" t="s">
        <v>1394</v>
      </c>
      <c r="C59" s="48" t="s">
        <v>1425</v>
      </c>
      <c r="D59" s="40" t="s">
        <v>1424</v>
      </c>
      <c r="E59" s="164" t="s">
        <v>1396</v>
      </c>
      <c r="F59" s="90" t="s">
        <v>243</v>
      </c>
      <c r="G59" s="34"/>
      <c r="H59" s="165"/>
      <c r="I59" s="15"/>
      <c r="J59" s="17" t="str">
        <f>IF(H59&gt;0,(H59*VLOOKUP(Lookups!$K$11,Lookups!$M$10:$P$43,4,0)/VLOOKUP(I59,Lookups!$M$10:$P$43,4,0)),"")</f>
        <v/>
      </c>
      <c r="K59" s="193">
        <v>530</v>
      </c>
      <c r="L59" s="15" t="s">
        <v>257</v>
      </c>
      <c r="M59" s="17">
        <f>IF(K59&gt;0,(K59*VLOOKUP(Lookups!$K$11,Lookups!$M$10:$P$43,4,0)/VLOOKUP(L59,Lookups!$M$10:$P$43,4,0)),"")</f>
        <v>626.8603407526706</v>
      </c>
      <c r="N59" s="165"/>
      <c r="O59" s="15"/>
      <c r="P59" s="17" t="str">
        <f>IF(N59&gt;0,(N59*VLOOKUP(Lookups!$K$11,Lookups!$M$10:$P$43,4,0)/VLOOKUP(O59,Lookups!$M$10:$P$43,4,0)),"")</f>
        <v/>
      </c>
      <c r="Q59" s="234" t="s">
        <v>1399</v>
      </c>
      <c r="R59" s="15" t="s">
        <v>152</v>
      </c>
      <c r="S59" s="174" t="s">
        <v>1427</v>
      </c>
      <c r="T59" s="15"/>
      <c r="U59" s="90"/>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c r="AW59" s="233"/>
      <c r="AX59" s="233"/>
      <c r="AY59" s="233"/>
      <c r="AZ59" s="233"/>
      <c r="BA59" s="233"/>
      <c r="BB59" s="233"/>
      <c r="BC59" s="233"/>
      <c r="BD59" s="233"/>
      <c r="BE59" s="233"/>
      <c r="BF59" s="233"/>
      <c r="BG59" s="233"/>
      <c r="BH59" s="233"/>
      <c r="BI59" s="233"/>
      <c r="BJ59" s="233"/>
      <c r="BK59" s="233"/>
      <c r="BL59" s="233"/>
      <c r="BM59" s="233"/>
      <c r="BN59" s="233"/>
      <c r="BO59" s="233"/>
      <c r="BP59" s="233"/>
      <c r="BQ59" s="233"/>
      <c r="BR59" s="233"/>
      <c r="BS59" s="233"/>
      <c r="BT59" s="233"/>
      <c r="BU59" s="233"/>
      <c r="BV59" s="233"/>
      <c r="BW59" s="233"/>
      <c r="BX59" s="233"/>
      <c r="BY59" s="233"/>
      <c r="BZ59" s="233"/>
      <c r="CA59" s="233"/>
      <c r="CB59" s="233"/>
      <c r="CC59" s="233"/>
      <c r="CD59" s="233"/>
      <c r="CE59" s="233"/>
      <c r="CF59" s="233"/>
      <c r="CG59" s="233"/>
      <c r="CH59" s="233"/>
      <c r="CI59" s="233"/>
      <c r="CJ59" s="233"/>
      <c r="CK59" s="233"/>
      <c r="CL59" s="233"/>
      <c r="CM59" s="233"/>
      <c r="CN59" s="233"/>
      <c r="CO59" s="233"/>
      <c r="CP59" s="233"/>
      <c r="CQ59" s="233"/>
      <c r="CR59" s="233"/>
      <c r="CS59" s="233"/>
      <c r="CT59" s="233"/>
      <c r="CU59" s="233"/>
      <c r="CV59" s="233"/>
      <c r="CW59" s="233"/>
      <c r="CX59" s="233"/>
      <c r="CY59" s="233"/>
      <c r="CZ59" s="233"/>
      <c r="DA59" s="233"/>
      <c r="DB59" s="233"/>
      <c r="DC59" s="233"/>
      <c r="DD59" s="233"/>
      <c r="DE59" s="233"/>
      <c r="DF59" s="233"/>
      <c r="DG59" s="233"/>
      <c r="DH59" s="233"/>
      <c r="DI59" s="233"/>
      <c r="DJ59" s="233"/>
      <c r="DK59" s="233"/>
      <c r="DL59" s="233"/>
      <c r="DM59" s="233"/>
      <c r="DN59" s="233"/>
      <c r="DO59" s="233"/>
      <c r="DP59" s="233"/>
      <c r="DQ59" s="233"/>
      <c r="DR59" s="233"/>
      <c r="DS59" s="233"/>
      <c r="DT59" s="233"/>
      <c r="DU59" s="233"/>
      <c r="DV59" s="233"/>
      <c r="DW59" s="233"/>
      <c r="DX59" s="233"/>
      <c r="DY59" s="233"/>
      <c r="DZ59" s="233"/>
      <c r="EA59" s="233"/>
      <c r="EB59" s="233"/>
      <c r="EC59" s="233"/>
      <c r="ED59" s="233"/>
      <c r="EE59" s="233"/>
      <c r="EF59" s="233"/>
      <c r="EG59" s="233"/>
      <c r="EH59" s="233"/>
      <c r="EI59" s="233"/>
      <c r="EJ59" s="233"/>
      <c r="EK59" s="233"/>
      <c r="EL59" s="233"/>
      <c r="EM59" s="233"/>
      <c r="EN59" s="233"/>
      <c r="EO59" s="233"/>
      <c r="EP59" s="233"/>
      <c r="EQ59" s="233"/>
      <c r="ER59" s="233"/>
      <c r="ES59" s="233"/>
      <c r="ET59" s="233"/>
      <c r="EU59" s="233"/>
      <c r="EV59" s="233"/>
      <c r="EW59" s="233"/>
      <c r="EX59" s="233"/>
      <c r="EY59" s="233"/>
      <c r="EZ59" s="233"/>
      <c r="FA59" s="233"/>
      <c r="FB59" s="233"/>
      <c r="FC59" s="233"/>
      <c r="FD59" s="233"/>
      <c r="FE59" s="233"/>
      <c r="FF59" s="233"/>
      <c r="FG59" s="233"/>
      <c r="FH59" s="233"/>
      <c r="FI59" s="233"/>
      <c r="FJ59" s="233"/>
      <c r="FK59" s="233"/>
      <c r="FL59" s="233"/>
      <c r="FM59" s="233"/>
      <c r="FN59" s="233"/>
      <c r="FO59" s="233"/>
      <c r="FP59" s="233"/>
      <c r="FQ59" s="233"/>
      <c r="FR59" s="233"/>
      <c r="FS59" s="233"/>
      <c r="FT59" s="233"/>
      <c r="FU59" s="233"/>
      <c r="FV59" s="233"/>
      <c r="FW59" s="233"/>
      <c r="FX59" s="233"/>
      <c r="FY59" s="233"/>
      <c r="FZ59" s="233"/>
      <c r="GA59" s="233"/>
      <c r="GB59" s="233"/>
      <c r="GC59" s="233"/>
      <c r="GD59" s="233"/>
      <c r="GE59" s="233"/>
      <c r="GF59" s="233"/>
      <c r="GG59" s="233"/>
      <c r="GH59" s="233"/>
      <c r="GI59" s="233"/>
      <c r="GJ59" s="233"/>
      <c r="GK59" s="233"/>
      <c r="GL59" s="233"/>
      <c r="GM59" s="233"/>
      <c r="GN59" s="233"/>
      <c r="GO59" s="233"/>
      <c r="GP59" s="233"/>
      <c r="GQ59" s="233"/>
      <c r="GR59" s="233"/>
      <c r="GS59" s="233"/>
      <c r="GT59" s="233"/>
      <c r="GU59" s="233"/>
      <c r="GV59" s="233"/>
      <c r="GW59" s="233"/>
      <c r="GX59" s="233"/>
      <c r="GY59" s="233"/>
      <c r="GZ59" s="233"/>
      <c r="HA59" s="233"/>
      <c r="HB59" s="233"/>
      <c r="HC59" s="233"/>
      <c r="HD59" s="233"/>
      <c r="HE59" s="233"/>
      <c r="HF59" s="233"/>
      <c r="HG59" s="233"/>
      <c r="HH59" s="233"/>
      <c r="HI59" s="233"/>
      <c r="HJ59" s="233"/>
      <c r="HK59" s="233"/>
      <c r="HL59" s="233"/>
      <c r="HM59" s="233"/>
      <c r="HN59" s="233"/>
      <c r="HO59" s="233"/>
      <c r="HP59" s="233"/>
      <c r="HQ59" s="233"/>
      <c r="HR59" s="233"/>
      <c r="HS59" s="233"/>
      <c r="HT59" s="233"/>
      <c r="HU59" s="233"/>
      <c r="HV59" s="233"/>
      <c r="HW59" s="233"/>
      <c r="HX59" s="233"/>
      <c r="HY59" s="233"/>
      <c r="HZ59" s="233"/>
      <c r="IA59" s="233"/>
      <c r="IB59" s="233"/>
      <c r="IC59" s="233"/>
      <c r="ID59" s="233"/>
      <c r="IE59" s="233"/>
      <c r="IF59" s="233"/>
      <c r="IG59" s="233"/>
      <c r="IH59" s="233"/>
      <c r="II59" s="233"/>
      <c r="IJ59" s="233"/>
      <c r="IK59" s="233"/>
      <c r="IL59" s="233"/>
      <c r="IM59" s="233"/>
      <c r="IN59" s="233"/>
      <c r="IO59" s="233"/>
      <c r="IP59" s="233"/>
      <c r="IQ59" s="233"/>
      <c r="IR59" s="233"/>
      <c r="IS59" s="233"/>
      <c r="IT59" s="233"/>
      <c r="IU59" s="233"/>
      <c r="IV59" s="233"/>
      <c r="IW59" s="233"/>
      <c r="IX59" s="233"/>
      <c r="IY59" s="233"/>
      <c r="IZ59" s="233"/>
      <c r="JA59" s="233"/>
      <c r="JB59" s="233"/>
      <c r="JC59" s="233"/>
      <c r="JD59" s="233"/>
      <c r="JE59" s="233"/>
      <c r="JF59" s="233"/>
      <c r="JG59" s="233"/>
      <c r="JH59" s="233"/>
      <c r="JI59" s="233"/>
      <c r="JJ59" s="233"/>
      <c r="JK59" s="233"/>
      <c r="JL59" s="233"/>
      <c r="JM59" s="233"/>
      <c r="JN59" s="233"/>
      <c r="JO59" s="233"/>
      <c r="JP59" s="233"/>
      <c r="JQ59" s="233"/>
      <c r="JR59" s="233"/>
      <c r="JS59" s="233"/>
      <c r="JT59" s="233"/>
      <c r="JU59" s="233"/>
      <c r="JV59" s="233"/>
      <c r="JW59" s="233"/>
      <c r="JX59" s="233"/>
      <c r="JY59" s="233"/>
      <c r="JZ59" s="233"/>
      <c r="KA59" s="233"/>
      <c r="KB59" s="233"/>
      <c r="KC59" s="233"/>
      <c r="KD59" s="233"/>
      <c r="KE59" s="233"/>
      <c r="KF59" s="233"/>
      <c r="KG59" s="233"/>
      <c r="KH59" s="233"/>
      <c r="KI59" s="233"/>
      <c r="KJ59" s="233"/>
      <c r="KK59" s="233"/>
      <c r="KL59" s="233"/>
      <c r="KM59" s="233"/>
      <c r="KN59" s="233"/>
      <c r="KO59" s="233"/>
      <c r="KP59" s="233"/>
      <c r="KQ59" s="233"/>
      <c r="KR59" s="233"/>
      <c r="KS59" s="233"/>
      <c r="KT59" s="233"/>
      <c r="KU59" s="233"/>
      <c r="KV59" s="233"/>
      <c r="KW59" s="233"/>
      <c r="KX59" s="233"/>
      <c r="KY59" s="233"/>
      <c r="KZ59" s="233"/>
      <c r="LA59" s="233"/>
      <c r="LB59" s="233"/>
      <c r="LC59" s="233"/>
      <c r="LD59" s="233"/>
      <c r="LE59" s="233"/>
      <c r="LF59" s="233"/>
      <c r="LG59" s="233"/>
      <c r="LH59" s="233"/>
      <c r="LI59" s="233"/>
      <c r="LJ59" s="233"/>
      <c r="LK59" s="233"/>
      <c r="LL59" s="233"/>
      <c r="LM59" s="233"/>
      <c r="LN59" s="233"/>
      <c r="LO59" s="233"/>
      <c r="LP59" s="233"/>
      <c r="LQ59" s="233"/>
      <c r="LR59" s="233"/>
      <c r="LS59" s="233"/>
      <c r="LT59" s="233"/>
      <c r="LU59" s="233"/>
      <c r="LV59" s="233"/>
      <c r="LW59" s="233"/>
      <c r="LX59" s="233"/>
      <c r="LY59" s="233"/>
      <c r="LZ59" s="233"/>
      <c r="MA59" s="233"/>
    </row>
    <row r="60" spans="1:339" s="54" customFormat="1" ht="60" hidden="1" customHeight="1" outlineLevel="1" x14ac:dyDescent="0.25">
      <c r="A60" s="50" t="s">
        <v>1304</v>
      </c>
      <c r="B60" s="50" t="s">
        <v>1394</v>
      </c>
      <c r="C60" s="50" t="s">
        <v>1426</v>
      </c>
      <c r="D60" s="50" t="s">
        <v>2132</v>
      </c>
      <c r="E60" s="164" t="s">
        <v>1410</v>
      </c>
      <c r="F60" s="90" t="s">
        <v>243</v>
      </c>
      <c r="G60" s="34"/>
      <c r="H60" s="165"/>
      <c r="I60" s="15"/>
      <c r="J60" s="17" t="str">
        <f>IF(H60&gt;0,(H60*VLOOKUP(Lookups!$K$11,Lookups!$M$10:$P$43,4,0)/VLOOKUP(I60,Lookups!$M$10:$P$43,4,0)),"")</f>
        <v/>
      </c>
      <c r="K60" s="193">
        <v>95</v>
      </c>
      <c r="L60" s="15" t="s">
        <v>1521</v>
      </c>
      <c r="M60" s="17">
        <f>IF(K60&gt;0,(K60*VLOOKUP(Lookups!$K$11,Lookups!$M$10:$P$43,4,0)/VLOOKUP(L60,Lookups!$M$10:$P$43,4,0)),"")</f>
        <v>98.851754075273377</v>
      </c>
      <c r="N60" s="165"/>
      <c r="O60" s="15"/>
      <c r="P60" s="17" t="str">
        <f>IF(N60&gt;0,(N60*VLOOKUP(Lookups!$K$11,Lookups!$M$10:$P$43,4,0)/VLOOKUP(O60,Lookups!$M$10:$P$43,4,0)),"")</f>
        <v/>
      </c>
      <c r="Q60" s="235" t="s">
        <v>2288</v>
      </c>
      <c r="R60" s="15" t="s">
        <v>152</v>
      </c>
      <c r="S60" s="174" t="s">
        <v>2397</v>
      </c>
      <c r="T60" s="15" t="s">
        <v>923</v>
      </c>
      <c r="U60" s="90" t="s">
        <v>2280</v>
      </c>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233"/>
      <c r="BM60" s="233"/>
      <c r="BN60" s="233"/>
      <c r="BO60" s="233"/>
      <c r="BP60" s="233"/>
      <c r="BQ60" s="233"/>
      <c r="BR60" s="233"/>
      <c r="BS60" s="233"/>
      <c r="BT60" s="233"/>
      <c r="BU60" s="233"/>
      <c r="BV60" s="233"/>
      <c r="BW60" s="233"/>
      <c r="BX60" s="233"/>
      <c r="BY60" s="233"/>
      <c r="BZ60" s="233"/>
      <c r="CA60" s="233"/>
      <c r="CB60" s="233"/>
      <c r="CC60" s="233"/>
      <c r="CD60" s="233"/>
      <c r="CE60" s="233"/>
      <c r="CF60" s="233"/>
      <c r="CG60" s="233"/>
      <c r="CH60" s="233"/>
      <c r="CI60" s="233"/>
      <c r="CJ60" s="233"/>
      <c r="CK60" s="233"/>
      <c r="CL60" s="233"/>
      <c r="CM60" s="233"/>
      <c r="CN60" s="233"/>
      <c r="CO60" s="233"/>
      <c r="CP60" s="233"/>
      <c r="CQ60" s="233"/>
      <c r="CR60" s="233"/>
      <c r="CS60" s="233"/>
      <c r="CT60" s="233"/>
      <c r="CU60" s="233"/>
      <c r="CV60" s="233"/>
      <c r="CW60" s="233"/>
      <c r="CX60" s="233"/>
      <c r="CY60" s="233"/>
      <c r="CZ60" s="233"/>
      <c r="DA60" s="233"/>
      <c r="DB60" s="233"/>
      <c r="DC60" s="233"/>
      <c r="DD60" s="233"/>
      <c r="DE60" s="233"/>
      <c r="DF60" s="233"/>
      <c r="DG60" s="233"/>
      <c r="DH60" s="233"/>
      <c r="DI60" s="233"/>
      <c r="DJ60" s="233"/>
      <c r="DK60" s="233"/>
      <c r="DL60" s="233"/>
      <c r="DM60" s="233"/>
      <c r="DN60" s="233"/>
      <c r="DO60" s="233"/>
      <c r="DP60" s="233"/>
      <c r="DQ60" s="233"/>
      <c r="DR60" s="233"/>
      <c r="DS60" s="233"/>
      <c r="DT60" s="233"/>
      <c r="DU60" s="233"/>
      <c r="DV60" s="233"/>
      <c r="DW60" s="233"/>
      <c r="DX60" s="233"/>
      <c r="DY60" s="233"/>
      <c r="DZ60" s="233"/>
      <c r="EA60" s="233"/>
      <c r="EB60" s="233"/>
      <c r="EC60" s="233"/>
      <c r="ED60" s="233"/>
      <c r="EE60" s="233"/>
      <c r="EF60" s="233"/>
      <c r="EG60" s="233"/>
      <c r="EH60" s="233"/>
      <c r="EI60" s="233"/>
      <c r="EJ60" s="233"/>
      <c r="EK60" s="233"/>
      <c r="EL60" s="233"/>
      <c r="EM60" s="233"/>
      <c r="EN60" s="233"/>
      <c r="EO60" s="233"/>
      <c r="EP60" s="233"/>
      <c r="EQ60" s="233"/>
      <c r="ER60" s="233"/>
      <c r="ES60" s="233"/>
      <c r="ET60" s="233"/>
      <c r="EU60" s="233"/>
      <c r="EV60" s="233"/>
      <c r="EW60" s="233"/>
      <c r="EX60" s="233"/>
      <c r="EY60" s="233"/>
      <c r="EZ60" s="233"/>
      <c r="FA60" s="233"/>
      <c r="FB60" s="233"/>
      <c r="FC60" s="233"/>
      <c r="FD60" s="233"/>
      <c r="FE60" s="233"/>
      <c r="FF60" s="233"/>
      <c r="FG60" s="233"/>
      <c r="FH60" s="233"/>
      <c r="FI60" s="233"/>
      <c r="FJ60" s="233"/>
      <c r="FK60" s="233"/>
      <c r="FL60" s="233"/>
      <c r="FM60" s="233"/>
      <c r="FN60" s="233"/>
      <c r="FO60" s="233"/>
      <c r="FP60" s="233"/>
      <c r="FQ60" s="233"/>
      <c r="FR60" s="233"/>
      <c r="FS60" s="233"/>
      <c r="FT60" s="233"/>
      <c r="FU60" s="233"/>
      <c r="FV60" s="233"/>
      <c r="FW60" s="233"/>
      <c r="FX60" s="233"/>
      <c r="FY60" s="233"/>
      <c r="FZ60" s="233"/>
      <c r="GA60" s="233"/>
      <c r="GB60" s="233"/>
      <c r="GC60" s="233"/>
      <c r="GD60" s="233"/>
      <c r="GE60" s="233"/>
      <c r="GF60" s="233"/>
      <c r="GG60" s="233"/>
      <c r="GH60" s="233"/>
      <c r="GI60" s="233"/>
      <c r="GJ60" s="233"/>
      <c r="GK60" s="233"/>
      <c r="GL60" s="233"/>
      <c r="GM60" s="233"/>
      <c r="GN60" s="233"/>
      <c r="GO60" s="233"/>
      <c r="GP60" s="233"/>
      <c r="GQ60" s="233"/>
      <c r="GR60" s="233"/>
      <c r="GS60" s="233"/>
      <c r="GT60" s="233"/>
      <c r="GU60" s="233"/>
      <c r="GV60" s="233"/>
      <c r="GW60" s="233"/>
      <c r="GX60" s="233"/>
      <c r="GY60" s="233"/>
      <c r="GZ60" s="233"/>
      <c r="HA60" s="233"/>
      <c r="HB60" s="233"/>
      <c r="HC60" s="233"/>
      <c r="HD60" s="233"/>
      <c r="HE60" s="233"/>
      <c r="HF60" s="233"/>
      <c r="HG60" s="233"/>
      <c r="HH60" s="233"/>
      <c r="HI60" s="233"/>
      <c r="HJ60" s="233"/>
      <c r="HK60" s="233"/>
      <c r="HL60" s="233"/>
      <c r="HM60" s="233"/>
      <c r="HN60" s="233"/>
      <c r="HO60" s="233"/>
      <c r="HP60" s="233"/>
      <c r="HQ60" s="233"/>
      <c r="HR60" s="233"/>
      <c r="HS60" s="233"/>
      <c r="HT60" s="233"/>
      <c r="HU60" s="233"/>
      <c r="HV60" s="233"/>
      <c r="HW60" s="233"/>
      <c r="HX60" s="233"/>
      <c r="HY60" s="233"/>
      <c r="HZ60" s="233"/>
      <c r="IA60" s="233"/>
      <c r="IB60" s="233"/>
      <c r="IC60" s="233"/>
      <c r="ID60" s="233"/>
      <c r="IE60" s="233"/>
      <c r="IF60" s="233"/>
      <c r="IG60" s="233"/>
      <c r="IH60" s="233"/>
      <c r="II60" s="233"/>
      <c r="IJ60" s="233"/>
      <c r="IK60" s="233"/>
      <c r="IL60" s="233"/>
      <c r="IM60" s="233"/>
      <c r="IN60" s="233"/>
      <c r="IO60" s="233"/>
      <c r="IP60" s="233"/>
      <c r="IQ60" s="233"/>
      <c r="IR60" s="233"/>
      <c r="IS60" s="233"/>
      <c r="IT60" s="233"/>
      <c r="IU60" s="233"/>
      <c r="IV60" s="233"/>
      <c r="IW60" s="233"/>
      <c r="IX60" s="233"/>
      <c r="IY60" s="233"/>
      <c r="IZ60" s="233"/>
      <c r="JA60" s="233"/>
      <c r="JB60" s="233"/>
      <c r="JC60" s="233"/>
      <c r="JD60" s="233"/>
      <c r="JE60" s="233"/>
      <c r="JF60" s="233"/>
      <c r="JG60" s="233"/>
      <c r="JH60" s="233"/>
      <c r="JI60" s="233"/>
      <c r="JJ60" s="233"/>
      <c r="JK60" s="233"/>
      <c r="JL60" s="233"/>
      <c r="JM60" s="233"/>
      <c r="JN60" s="233"/>
      <c r="JO60" s="233"/>
      <c r="JP60" s="233"/>
      <c r="JQ60" s="233"/>
      <c r="JR60" s="233"/>
      <c r="JS60" s="233"/>
      <c r="JT60" s="233"/>
      <c r="JU60" s="233"/>
      <c r="JV60" s="233"/>
      <c r="JW60" s="233"/>
      <c r="JX60" s="233"/>
      <c r="JY60" s="233"/>
      <c r="JZ60" s="233"/>
      <c r="KA60" s="233"/>
      <c r="KB60" s="233"/>
      <c r="KC60" s="233"/>
      <c r="KD60" s="233"/>
      <c r="KE60" s="233"/>
      <c r="KF60" s="233"/>
      <c r="KG60" s="233"/>
      <c r="KH60" s="233"/>
      <c r="KI60" s="233"/>
      <c r="KJ60" s="233"/>
      <c r="KK60" s="233"/>
      <c r="KL60" s="233"/>
      <c r="KM60" s="233"/>
      <c r="KN60" s="233"/>
      <c r="KO60" s="233"/>
      <c r="KP60" s="233"/>
      <c r="KQ60" s="233"/>
      <c r="KR60" s="233"/>
      <c r="KS60" s="233"/>
      <c r="KT60" s="233"/>
      <c r="KU60" s="233"/>
      <c r="KV60" s="233"/>
      <c r="KW60" s="233"/>
      <c r="KX60" s="233"/>
      <c r="KY60" s="233"/>
      <c r="KZ60" s="233"/>
      <c r="LA60" s="233"/>
      <c r="LB60" s="233"/>
      <c r="LC60" s="233"/>
      <c r="LD60" s="233"/>
      <c r="LE60" s="233"/>
      <c r="LF60" s="233"/>
      <c r="LG60" s="233"/>
      <c r="LH60" s="233"/>
      <c r="LI60" s="233"/>
      <c r="LJ60" s="233"/>
      <c r="LK60" s="233"/>
      <c r="LL60" s="233"/>
      <c r="LM60" s="233"/>
      <c r="LN60" s="233"/>
      <c r="LO60" s="233"/>
      <c r="LP60" s="233"/>
      <c r="LQ60" s="233"/>
      <c r="LR60" s="233"/>
      <c r="LS60" s="233"/>
      <c r="LT60" s="233"/>
      <c r="LU60" s="233"/>
      <c r="LV60" s="233"/>
      <c r="LW60" s="233"/>
      <c r="LX60" s="233"/>
      <c r="LY60" s="233"/>
      <c r="LZ60" s="233"/>
      <c r="MA60" s="233"/>
    </row>
    <row r="61" spans="1:339" s="54" customFormat="1" ht="60" customHeight="1" collapsed="1" x14ac:dyDescent="0.25">
      <c r="A61" s="40" t="s">
        <v>1304</v>
      </c>
      <c r="B61" s="40" t="s">
        <v>1429</v>
      </c>
      <c r="C61" s="48" t="s">
        <v>1428</v>
      </c>
      <c r="D61" s="40" t="s">
        <v>1437</v>
      </c>
      <c r="E61" s="164" t="s">
        <v>1410</v>
      </c>
      <c r="F61" s="90" t="s">
        <v>243</v>
      </c>
      <c r="G61" s="34"/>
      <c r="H61" s="165"/>
      <c r="I61" s="15"/>
      <c r="J61" s="17" t="str">
        <f>IF(H61&gt;0,(H61*VLOOKUP(Lookups!$K$11,Lookups!$M$10:$P$43,4,0)/VLOOKUP(I61,Lookups!$M$10:$P$43,4,0)),"")</f>
        <v/>
      </c>
      <c r="K61" s="193">
        <v>3200</v>
      </c>
      <c r="L61" s="15" t="s">
        <v>257</v>
      </c>
      <c r="M61" s="17">
        <f>IF(K61&gt;0,(K61*VLOOKUP(Lookups!$K$11,Lookups!$M$10:$P$43,4,0)/VLOOKUP(L61,Lookups!$M$10:$P$43,4,0)),"")</f>
        <v>3784.8171517142373</v>
      </c>
      <c r="N61" s="165"/>
      <c r="O61" s="15"/>
      <c r="P61" s="17" t="str">
        <f>IF(N61&gt;0,(N61*VLOOKUP(Lookups!$K$11,Lookups!$M$10:$P$43,4,0)/VLOOKUP(O61,Lookups!$M$10:$P$43,4,0)),"")</f>
        <v/>
      </c>
      <c r="Q61" s="234" t="s">
        <v>1399</v>
      </c>
      <c r="R61" s="15" t="s">
        <v>152</v>
      </c>
      <c r="S61" s="174" t="s">
        <v>1440</v>
      </c>
      <c r="T61" s="15"/>
      <c r="U61" s="90"/>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3"/>
      <c r="BO61" s="233"/>
      <c r="BP61" s="233"/>
      <c r="BQ61" s="233"/>
      <c r="BR61" s="233"/>
      <c r="BS61" s="233"/>
      <c r="BT61" s="233"/>
      <c r="BU61" s="233"/>
      <c r="BV61" s="233"/>
      <c r="BW61" s="233"/>
      <c r="BX61" s="233"/>
      <c r="BY61" s="233"/>
      <c r="BZ61" s="233"/>
      <c r="CA61" s="233"/>
      <c r="CB61" s="233"/>
      <c r="CC61" s="233"/>
      <c r="CD61" s="233"/>
      <c r="CE61" s="233"/>
      <c r="CF61" s="233"/>
      <c r="CG61" s="233"/>
      <c r="CH61" s="233"/>
      <c r="CI61" s="233"/>
      <c r="CJ61" s="233"/>
      <c r="CK61" s="233"/>
      <c r="CL61" s="233"/>
      <c r="CM61" s="233"/>
      <c r="CN61" s="233"/>
      <c r="CO61" s="233"/>
      <c r="CP61" s="233"/>
      <c r="CQ61" s="233"/>
      <c r="CR61" s="233"/>
      <c r="CS61" s="233"/>
      <c r="CT61" s="233"/>
      <c r="CU61" s="233"/>
      <c r="CV61" s="233"/>
      <c r="CW61" s="233"/>
      <c r="CX61" s="233"/>
      <c r="CY61" s="233"/>
      <c r="CZ61" s="233"/>
      <c r="DA61" s="233"/>
      <c r="DB61" s="233"/>
      <c r="DC61" s="233"/>
      <c r="DD61" s="233"/>
      <c r="DE61" s="233"/>
      <c r="DF61" s="233"/>
      <c r="DG61" s="233"/>
      <c r="DH61" s="233"/>
      <c r="DI61" s="233"/>
      <c r="DJ61" s="233"/>
      <c r="DK61" s="233"/>
      <c r="DL61" s="233"/>
      <c r="DM61" s="233"/>
      <c r="DN61" s="233"/>
      <c r="DO61" s="233"/>
      <c r="DP61" s="233"/>
      <c r="DQ61" s="233"/>
      <c r="DR61" s="233"/>
      <c r="DS61" s="233"/>
      <c r="DT61" s="233"/>
      <c r="DU61" s="233"/>
      <c r="DV61" s="233"/>
      <c r="DW61" s="233"/>
      <c r="DX61" s="233"/>
      <c r="DY61" s="233"/>
      <c r="DZ61" s="233"/>
      <c r="EA61" s="233"/>
      <c r="EB61" s="233"/>
      <c r="EC61" s="233"/>
      <c r="ED61" s="233"/>
      <c r="EE61" s="233"/>
      <c r="EF61" s="233"/>
      <c r="EG61" s="233"/>
      <c r="EH61" s="233"/>
      <c r="EI61" s="233"/>
      <c r="EJ61" s="233"/>
      <c r="EK61" s="233"/>
      <c r="EL61" s="233"/>
      <c r="EM61" s="233"/>
      <c r="EN61" s="233"/>
      <c r="EO61" s="233"/>
      <c r="EP61" s="233"/>
      <c r="EQ61" s="233"/>
      <c r="ER61" s="233"/>
      <c r="ES61" s="233"/>
      <c r="ET61" s="233"/>
      <c r="EU61" s="233"/>
      <c r="EV61" s="233"/>
      <c r="EW61" s="233"/>
      <c r="EX61" s="233"/>
      <c r="EY61" s="233"/>
      <c r="EZ61" s="233"/>
      <c r="FA61" s="233"/>
      <c r="FB61" s="233"/>
      <c r="FC61" s="233"/>
      <c r="FD61" s="233"/>
      <c r="FE61" s="233"/>
      <c r="FF61" s="233"/>
      <c r="FG61" s="233"/>
      <c r="FH61" s="233"/>
      <c r="FI61" s="233"/>
      <c r="FJ61" s="233"/>
      <c r="FK61" s="233"/>
      <c r="FL61" s="233"/>
      <c r="FM61" s="233"/>
      <c r="FN61" s="233"/>
      <c r="FO61" s="233"/>
      <c r="FP61" s="233"/>
      <c r="FQ61" s="233"/>
      <c r="FR61" s="233"/>
      <c r="FS61" s="233"/>
      <c r="FT61" s="233"/>
      <c r="FU61" s="233"/>
      <c r="FV61" s="233"/>
      <c r="FW61" s="233"/>
      <c r="FX61" s="233"/>
      <c r="FY61" s="233"/>
      <c r="FZ61" s="233"/>
      <c r="GA61" s="233"/>
      <c r="GB61" s="233"/>
      <c r="GC61" s="233"/>
      <c r="GD61" s="233"/>
      <c r="GE61" s="233"/>
      <c r="GF61" s="233"/>
      <c r="GG61" s="233"/>
      <c r="GH61" s="233"/>
      <c r="GI61" s="233"/>
      <c r="GJ61" s="233"/>
      <c r="GK61" s="233"/>
      <c r="GL61" s="233"/>
      <c r="GM61" s="233"/>
      <c r="GN61" s="233"/>
      <c r="GO61" s="233"/>
      <c r="GP61" s="233"/>
      <c r="GQ61" s="233"/>
      <c r="GR61" s="233"/>
      <c r="GS61" s="233"/>
      <c r="GT61" s="233"/>
      <c r="GU61" s="233"/>
      <c r="GV61" s="233"/>
      <c r="GW61" s="233"/>
      <c r="GX61" s="233"/>
      <c r="GY61" s="233"/>
      <c r="GZ61" s="233"/>
      <c r="HA61" s="233"/>
      <c r="HB61" s="233"/>
      <c r="HC61" s="233"/>
      <c r="HD61" s="233"/>
      <c r="HE61" s="233"/>
      <c r="HF61" s="233"/>
      <c r="HG61" s="233"/>
      <c r="HH61" s="233"/>
      <c r="HI61" s="233"/>
      <c r="HJ61" s="233"/>
      <c r="HK61" s="233"/>
      <c r="HL61" s="233"/>
      <c r="HM61" s="233"/>
      <c r="HN61" s="233"/>
      <c r="HO61" s="233"/>
      <c r="HP61" s="233"/>
      <c r="HQ61" s="233"/>
      <c r="HR61" s="233"/>
      <c r="HS61" s="233"/>
      <c r="HT61" s="233"/>
      <c r="HU61" s="233"/>
      <c r="HV61" s="233"/>
      <c r="HW61" s="233"/>
      <c r="HX61" s="233"/>
      <c r="HY61" s="233"/>
      <c r="HZ61" s="233"/>
      <c r="IA61" s="233"/>
      <c r="IB61" s="233"/>
      <c r="IC61" s="233"/>
      <c r="ID61" s="233"/>
      <c r="IE61" s="233"/>
      <c r="IF61" s="233"/>
      <c r="IG61" s="233"/>
      <c r="IH61" s="233"/>
      <c r="II61" s="233"/>
      <c r="IJ61" s="233"/>
      <c r="IK61" s="233"/>
      <c r="IL61" s="233"/>
      <c r="IM61" s="233"/>
      <c r="IN61" s="233"/>
      <c r="IO61" s="233"/>
      <c r="IP61" s="233"/>
      <c r="IQ61" s="233"/>
      <c r="IR61" s="233"/>
      <c r="IS61" s="233"/>
      <c r="IT61" s="233"/>
      <c r="IU61" s="233"/>
      <c r="IV61" s="233"/>
      <c r="IW61" s="233"/>
      <c r="IX61" s="233"/>
      <c r="IY61" s="233"/>
      <c r="IZ61" s="233"/>
      <c r="JA61" s="233"/>
      <c r="JB61" s="233"/>
      <c r="JC61" s="233"/>
      <c r="JD61" s="233"/>
      <c r="JE61" s="233"/>
      <c r="JF61" s="233"/>
      <c r="JG61" s="233"/>
      <c r="JH61" s="233"/>
      <c r="JI61" s="233"/>
      <c r="JJ61" s="233"/>
      <c r="JK61" s="233"/>
      <c r="JL61" s="233"/>
      <c r="JM61" s="233"/>
      <c r="JN61" s="233"/>
      <c r="JO61" s="233"/>
      <c r="JP61" s="233"/>
      <c r="JQ61" s="233"/>
      <c r="JR61" s="233"/>
      <c r="JS61" s="233"/>
      <c r="JT61" s="233"/>
      <c r="JU61" s="233"/>
      <c r="JV61" s="233"/>
      <c r="JW61" s="233"/>
      <c r="JX61" s="233"/>
      <c r="JY61" s="233"/>
      <c r="JZ61" s="233"/>
      <c r="KA61" s="233"/>
      <c r="KB61" s="233"/>
      <c r="KC61" s="233"/>
      <c r="KD61" s="233"/>
      <c r="KE61" s="233"/>
      <c r="KF61" s="233"/>
      <c r="KG61" s="233"/>
      <c r="KH61" s="233"/>
      <c r="KI61" s="233"/>
      <c r="KJ61" s="233"/>
      <c r="KK61" s="233"/>
      <c r="KL61" s="233"/>
      <c r="KM61" s="233"/>
      <c r="KN61" s="233"/>
      <c r="KO61" s="233"/>
      <c r="KP61" s="233"/>
      <c r="KQ61" s="233"/>
      <c r="KR61" s="233"/>
      <c r="KS61" s="233"/>
      <c r="KT61" s="233"/>
      <c r="KU61" s="233"/>
      <c r="KV61" s="233"/>
      <c r="KW61" s="233"/>
      <c r="KX61" s="233"/>
      <c r="KY61" s="233"/>
      <c r="KZ61" s="233"/>
      <c r="LA61" s="233"/>
      <c r="LB61" s="233"/>
      <c r="LC61" s="233"/>
      <c r="LD61" s="233"/>
      <c r="LE61" s="233"/>
      <c r="LF61" s="233"/>
      <c r="LG61" s="233"/>
      <c r="LH61" s="233"/>
      <c r="LI61" s="233"/>
      <c r="LJ61" s="233"/>
      <c r="LK61" s="233"/>
      <c r="LL61" s="233"/>
      <c r="LM61" s="233"/>
      <c r="LN61" s="233"/>
      <c r="LO61" s="233"/>
      <c r="LP61" s="233"/>
      <c r="LQ61" s="233"/>
      <c r="LR61" s="233"/>
      <c r="LS61" s="233"/>
      <c r="LT61" s="233"/>
      <c r="LU61" s="233"/>
      <c r="LV61" s="233"/>
      <c r="LW61" s="233"/>
      <c r="LX61" s="233"/>
      <c r="LY61" s="233"/>
      <c r="LZ61" s="233"/>
      <c r="MA61" s="233"/>
    </row>
    <row r="62" spans="1:339" s="54" customFormat="1" ht="60" hidden="1" customHeight="1" outlineLevel="1" x14ac:dyDescent="0.25">
      <c r="A62" s="50" t="s">
        <v>1304</v>
      </c>
      <c r="B62" s="50" t="s">
        <v>1429</v>
      </c>
      <c r="C62" s="50" t="s">
        <v>3127</v>
      </c>
      <c r="D62" s="50" t="s">
        <v>1438</v>
      </c>
      <c r="E62" s="164" t="s">
        <v>1410</v>
      </c>
      <c r="F62" s="90" t="s">
        <v>243</v>
      </c>
      <c r="G62" s="34"/>
      <c r="H62" s="165"/>
      <c r="I62" s="15"/>
      <c r="J62" s="17" t="str">
        <f>IF(H62&gt;0,(H62*VLOOKUP(Lookups!$K$11,Lookups!$M$10:$P$43,4,0)/VLOOKUP(I62,Lookups!$M$10:$P$43,4,0)),"")</f>
        <v/>
      </c>
      <c r="K62" s="193">
        <v>3300</v>
      </c>
      <c r="L62" s="15" t="s">
        <v>257</v>
      </c>
      <c r="M62" s="17">
        <f>IF(K62&gt;0,(K62*VLOOKUP(Lookups!$K$11,Lookups!$M$10:$P$43,4,0)/VLOOKUP(L62,Lookups!$M$10:$P$43,4,0)),"")</f>
        <v>3903.0926877053075</v>
      </c>
      <c r="N62" s="165"/>
      <c r="O62" s="15"/>
      <c r="P62" s="17" t="str">
        <f>IF(N62&gt;0,(N62*VLOOKUP(Lookups!$K$11,Lookups!$M$10:$P$43,4,0)/VLOOKUP(O62,Lookups!$M$10:$P$43,4,0)),"")</f>
        <v/>
      </c>
      <c r="Q62" s="234" t="s">
        <v>1399</v>
      </c>
      <c r="R62" s="15" t="s">
        <v>152</v>
      </c>
      <c r="S62" s="174" t="s">
        <v>1444</v>
      </c>
      <c r="T62" s="15"/>
      <c r="U62" s="90"/>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3"/>
      <c r="BR62" s="233"/>
      <c r="BS62" s="233"/>
      <c r="BT62" s="233"/>
      <c r="BU62" s="233"/>
      <c r="BV62" s="233"/>
      <c r="BW62" s="233"/>
      <c r="BX62" s="233"/>
      <c r="BY62" s="233"/>
      <c r="BZ62" s="233"/>
      <c r="CA62" s="233"/>
      <c r="CB62" s="233"/>
      <c r="CC62" s="233"/>
      <c r="CD62" s="233"/>
      <c r="CE62" s="233"/>
      <c r="CF62" s="233"/>
      <c r="CG62" s="233"/>
      <c r="CH62" s="233"/>
      <c r="CI62" s="233"/>
      <c r="CJ62" s="233"/>
      <c r="CK62" s="233"/>
      <c r="CL62" s="233"/>
      <c r="CM62" s="233"/>
      <c r="CN62" s="233"/>
      <c r="CO62" s="233"/>
      <c r="CP62" s="233"/>
      <c r="CQ62" s="233"/>
      <c r="CR62" s="233"/>
      <c r="CS62" s="233"/>
      <c r="CT62" s="233"/>
      <c r="CU62" s="233"/>
      <c r="CV62" s="233"/>
      <c r="CW62" s="233"/>
      <c r="CX62" s="233"/>
      <c r="CY62" s="233"/>
      <c r="CZ62" s="233"/>
      <c r="DA62" s="233"/>
      <c r="DB62" s="233"/>
      <c r="DC62" s="233"/>
      <c r="DD62" s="233"/>
      <c r="DE62" s="233"/>
      <c r="DF62" s="233"/>
      <c r="DG62" s="233"/>
      <c r="DH62" s="233"/>
      <c r="DI62" s="233"/>
      <c r="DJ62" s="233"/>
      <c r="DK62" s="233"/>
      <c r="DL62" s="233"/>
      <c r="DM62" s="233"/>
      <c r="DN62" s="233"/>
      <c r="DO62" s="233"/>
      <c r="DP62" s="233"/>
      <c r="DQ62" s="233"/>
      <c r="DR62" s="233"/>
      <c r="DS62" s="233"/>
      <c r="DT62" s="233"/>
      <c r="DU62" s="233"/>
      <c r="DV62" s="233"/>
      <c r="DW62" s="233"/>
      <c r="DX62" s="233"/>
      <c r="DY62" s="233"/>
      <c r="DZ62" s="233"/>
      <c r="EA62" s="233"/>
      <c r="EB62" s="233"/>
      <c r="EC62" s="233"/>
      <c r="ED62" s="233"/>
      <c r="EE62" s="233"/>
      <c r="EF62" s="233"/>
      <c r="EG62" s="233"/>
      <c r="EH62" s="233"/>
      <c r="EI62" s="233"/>
      <c r="EJ62" s="233"/>
      <c r="EK62" s="233"/>
      <c r="EL62" s="233"/>
      <c r="EM62" s="233"/>
      <c r="EN62" s="233"/>
      <c r="EO62" s="233"/>
      <c r="EP62" s="233"/>
      <c r="EQ62" s="233"/>
      <c r="ER62" s="233"/>
      <c r="ES62" s="233"/>
      <c r="ET62" s="233"/>
      <c r="EU62" s="233"/>
      <c r="EV62" s="233"/>
      <c r="EW62" s="233"/>
      <c r="EX62" s="233"/>
      <c r="EY62" s="233"/>
      <c r="EZ62" s="233"/>
      <c r="FA62" s="233"/>
      <c r="FB62" s="233"/>
      <c r="FC62" s="233"/>
      <c r="FD62" s="233"/>
      <c r="FE62" s="233"/>
      <c r="FF62" s="233"/>
      <c r="FG62" s="233"/>
      <c r="FH62" s="233"/>
      <c r="FI62" s="233"/>
      <c r="FJ62" s="233"/>
      <c r="FK62" s="233"/>
      <c r="FL62" s="233"/>
      <c r="FM62" s="233"/>
      <c r="FN62" s="233"/>
      <c r="FO62" s="233"/>
      <c r="FP62" s="233"/>
      <c r="FQ62" s="233"/>
      <c r="FR62" s="233"/>
      <c r="FS62" s="233"/>
      <c r="FT62" s="233"/>
      <c r="FU62" s="233"/>
      <c r="FV62" s="233"/>
      <c r="FW62" s="233"/>
      <c r="FX62" s="233"/>
      <c r="FY62" s="233"/>
      <c r="FZ62" s="233"/>
      <c r="GA62" s="233"/>
      <c r="GB62" s="233"/>
      <c r="GC62" s="233"/>
      <c r="GD62" s="233"/>
      <c r="GE62" s="233"/>
      <c r="GF62" s="233"/>
      <c r="GG62" s="233"/>
      <c r="GH62" s="233"/>
      <c r="GI62" s="233"/>
      <c r="GJ62" s="233"/>
      <c r="GK62" s="233"/>
      <c r="GL62" s="233"/>
      <c r="GM62" s="233"/>
      <c r="GN62" s="233"/>
      <c r="GO62" s="233"/>
      <c r="GP62" s="233"/>
      <c r="GQ62" s="233"/>
      <c r="GR62" s="233"/>
      <c r="GS62" s="233"/>
      <c r="GT62" s="233"/>
      <c r="GU62" s="233"/>
      <c r="GV62" s="233"/>
      <c r="GW62" s="233"/>
      <c r="GX62" s="233"/>
      <c r="GY62" s="233"/>
      <c r="GZ62" s="233"/>
      <c r="HA62" s="233"/>
      <c r="HB62" s="233"/>
      <c r="HC62" s="233"/>
      <c r="HD62" s="233"/>
      <c r="HE62" s="233"/>
      <c r="HF62" s="233"/>
      <c r="HG62" s="233"/>
      <c r="HH62" s="233"/>
      <c r="HI62" s="233"/>
      <c r="HJ62" s="233"/>
      <c r="HK62" s="233"/>
      <c r="HL62" s="233"/>
      <c r="HM62" s="233"/>
      <c r="HN62" s="233"/>
      <c r="HO62" s="233"/>
      <c r="HP62" s="233"/>
      <c r="HQ62" s="233"/>
      <c r="HR62" s="233"/>
      <c r="HS62" s="233"/>
      <c r="HT62" s="233"/>
      <c r="HU62" s="233"/>
      <c r="HV62" s="233"/>
      <c r="HW62" s="233"/>
      <c r="HX62" s="233"/>
      <c r="HY62" s="233"/>
      <c r="HZ62" s="233"/>
      <c r="IA62" s="233"/>
      <c r="IB62" s="233"/>
      <c r="IC62" s="233"/>
      <c r="ID62" s="233"/>
      <c r="IE62" s="233"/>
      <c r="IF62" s="233"/>
      <c r="IG62" s="233"/>
      <c r="IH62" s="233"/>
      <c r="II62" s="233"/>
      <c r="IJ62" s="233"/>
      <c r="IK62" s="233"/>
      <c r="IL62" s="233"/>
      <c r="IM62" s="233"/>
      <c r="IN62" s="233"/>
      <c r="IO62" s="233"/>
      <c r="IP62" s="233"/>
      <c r="IQ62" s="233"/>
      <c r="IR62" s="233"/>
      <c r="IS62" s="233"/>
      <c r="IT62" s="233"/>
      <c r="IU62" s="233"/>
      <c r="IV62" s="233"/>
      <c r="IW62" s="233"/>
      <c r="IX62" s="233"/>
      <c r="IY62" s="233"/>
      <c r="IZ62" s="233"/>
      <c r="JA62" s="233"/>
      <c r="JB62" s="233"/>
      <c r="JC62" s="233"/>
      <c r="JD62" s="233"/>
      <c r="JE62" s="233"/>
      <c r="JF62" s="233"/>
      <c r="JG62" s="233"/>
      <c r="JH62" s="233"/>
      <c r="JI62" s="233"/>
      <c r="JJ62" s="233"/>
      <c r="JK62" s="233"/>
      <c r="JL62" s="233"/>
      <c r="JM62" s="233"/>
      <c r="JN62" s="233"/>
      <c r="JO62" s="233"/>
      <c r="JP62" s="233"/>
      <c r="JQ62" s="233"/>
      <c r="JR62" s="233"/>
      <c r="JS62" s="233"/>
      <c r="JT62" s="233"/>
      <c r="JU62" s="233"/>
      <c r="JV62" s="233"/>
      <c r="JW62" s="233"/>
      <c r="JX62" s="233"/>
      <c r="JY62" s="233"/>
      <c r="JZ62" s="233"/>
      <c r="KA62" s="233"/>
      <c r="KB62" s="233"/>
      <c r="KC62" s="233"/>
      <c r="KD62" s="233"/>
      <c r="KE62" s="233"/>
      <c r="KF62" s="233"/>
      <c r="KG62" s="233"/>
      <c r="KH62" s="233"/>
      <c r="KI62" s="233"/>
      <c r="KJ62" s="233"/>
      <c r="KK62" s="233"/>
      <c r="KL62" s="233"/>
      <c r="KM62" s="233"/>
      <c r="KN62" s="233"/>
      <c r="KO62" s="233"/>
      <c r="KP62" s="233"/>
      <c r="KQ62" s="233"/>
      <c r="KR62" s="233"/>
      <c r="KS62" s="233"/>
      <c r="KT62" s="233"/>
      <c r="KU62" s="233"/>
      <c r="KV62" s="233"/>
      <c r="KW62" s="233"/>
      <c r="KX62" s="233"/>
      <c r="KY62" s="233"/>
      <c r="KZ62" s="233"/>
      <c r="LA62" s="233"/>
      <c r="LB62" s="233"/>
      <c r="LC62" s="233"/>
      <c r="LD62" s="233"/>
      <c r="LE62" s="233"/>
      <c r="LF62" s="233"/>
      <c r="LG62" s="233"/>
      <c r="LH62" s="233"/>
      <c r="LI62" s="233"/>
      <c r="LJ62" s="233"/>
      <c r="LK62" s="233"/>
      <c r="LL62" s="233"/>
      <c r="LM62" s="233"/>
      <c r="LN62" s="233"/>
      <c r="LO62" s="233"/>
      <c r="LP62" s="233"/>
      <c r="LQ62" s="233"/>
      <c r="LR62" s="233"/>
      <c r="LS62" s="233"/>
      <c r="LT62" s="233"/>
      <c r="LU62" s="233"/>
      <c r="LV62" s="233"/>
      <c r="LW62" s="233"/>
      <c r="LX62" s="233"/>
      <c r="LY62" s="233"/>
      <c r="LZ62" s="233"/>
      <c r="MA62" s="233"/>
    </row>
    <row r="63" spans="1:339" s="54" customFormat="1" ht="60" hidden="1" customHeight="1" outlineLevel="1" x14ac:dyDescent="0.25">
      <c r="A63" s="50" t="s">
        <v>1304</v>
      </c>
      <c r="B63" s="50" t="s">
        <v>1429</v>
      </c>
      <c r="C63" s="50" t="s">
        <v>3128</v>
      </c>
      <c r="D63" s="50" t="s">
        <v>1439</v>
      </c>
      <c r="E63" s="164" t="s">
        <v>1410</v>
      </c>
      <c r="F63" s="90" t="s">
        <v>243</v>
      </c>
      <c r="G63" s="34"/>
      <c r="H63" s="165"/>
      <c r="I63" s="15"/>
      <c r="J63" s="17" t="str">
        <f>IF(H63&gt;0,(H63*VLOOKUP(Lookups!$K$11,Lookups!$M$10:$P$43,4,0)/VLOOKUP(I63,Lookups!$M$10:$P$43,4,0)),"")</f>
        <v/>
      </c>
      <c r="K63" s="193">
        <v>4400</v>
      </c>
      <c r="L63" s="15" t="s">
        <v>257</v>
      </c>
      <c r="M63" s="17">
        <f>IF(K63&gt;0,(K63*VLOOKUP(Lookups!$K$11,Lookups!$M$10:$P$43,4,0)/VLOOKUP(L63,Lookups!$M$10:$P$43,4,0)),"")</f>
        <v>5204.1235836070764</v>
      </c>
      <c r="N63" s="165"/>
      <c r="O63" s="15"/>
      <c r="P63" s="17" t="str">
        <f>IF(N63&gt;0,(N63*VLOOKUP(Lookups!$K$11,Lookups!$M$10:$P$43,4,0)/VLOOKUP(O63,Lookups!$M$10:$P$43,4,0)),"")</f>
        <v/>
      </c>
      <c r="Q63" s="234" t="s">
        <v>1399</v>
      </c>
      <c r="R63" s="15" t="s">
        <v>152</v>
      </c>
      <c r="S63" s="174" t="s">
        <v>1445</v>
      </c>
      <c r="T63" s="15"/>
      <c r="U63" s="90"/>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3"/>
      <c r="BR63" s="233"/>
      <c r="BS63" s="233"/>
      <c r="BT63" s="233"/>
      <c r="BU63" s="233"/>
      <c r="BV63" s="233"/>
      <c r="BW63" s="233"/>
      <c r="BX63" s="233"/>
      <c r="BY63" s="233"/>
      <c r="BZ63" s="233"/>
      <c r="CA63" s="233"/>
      <c r="CB63" s="233"/>
      <c r="CC63" s="233"/>
      <c r="CD63" s="233"/>
      <c r="CE63" s="233"/>
      <c r="CF63" s="233"/>
      <c r="CG63" s="233"/>
      <c r="CH63" s="233"/>
      <c r="CI63" s="233"/>
      <c r="CJ63" s="233"/>
      <c r="CK63" s="233"/>
      <c r="CL63" s="233"/>
      <c r="CM63" s="233"/>
      <c r="CN63" s="233"/>
      <c r="CO63" s="233"/>
      <c r="CP63" s="233"/>
      <c r="CQ63" s="233"/>
      <c r="CR63" s="233"/>
      <c r="CS63" s="233"/>
      <c r="CT63" s="233"/>
      <c r="CU63" s="233"/>
      <c r="CV63" s="233"/>
      <c r="CW63" s="233"/>
      <c r="CX63" s="233"/>
      <c r="CY63" s="233"/>
      <c r="CZ63" s="233"/>
      <c r="DA63" s="233"/>
      <c r="DB63" s="233"/>
      <c r="DC63" s="233"/>
      <c r="DD63" s="233"/>
      <c r="DE63" s="233"/>
      <c r="DF63" s="233"/>
      <c r="DG63" s="233"/>
      <c r="DH63" s="233"/>
      <c r="DI63" s="233"/>
      <c r="DJ63" s="233"/>
      <c r="DK63" s="233"/>
      <c r="DL63" s="233"/>
      <c r="DM63" s="233"/>
      <c r="DN63" s="233"/>
      <c r="DO63" s="233"/>
      <c r="DP63" s="233"/>
      <c r="DQ63" s="233"/>
      <c r="DR63" s="233"/>
      <c r="DS63" s="233"/>
      <c r="DT63" s="233"/>
      <c r="DU63" s="233"/>
      <c r="DV63" s="233"/>
      <c r="DW63" s="233"/>
      <c r="DX63" s="233"/>
      <c r="DY63" s="233"/>
      <c r="DZ63" s="233"/>
      <c r="EA63" s="233"/>
      <c r="EB63" s="233"/>
      <c r="EC63" s="233"/>
      <c r="ED63" s="233"/>
      <c r="EE63" s="233"/>
      <c r="EF63" s="233"/>
      <c r="EG63" s="233"/>
      <c r="EH63" s="233"/>
      <c r="EI63" s="233"/>
      <c r="EJ63" s="233"/>
      <c r="EK63" s="233"/>
      <c r="EL63" s="233"/>
      <c r="EM63" s="233"/>
      <c r="EN63" s="233"/>
      <c r="EO63" s="233"/>
      <c r="EP63" s="233"/>
      <c r="EQ63" s="233"/>
      <c r="ER63" s="233"/>
      <c r="ES63" s="233"/>
      <c r="ET63" s="233"/>
      <c r="EU63" s="233"/>
      <c r="EV63" s="233"/>
      <c r="EW63" s="233"/>
      <c r="EX63" s="233"/>
      <c r="EY63" s="233"/>
      <c r="EZ63" s="233"/>
      <c r="FA63" s="233"/>
      <c r="FB63" s="233"/>
      <c r="FC63" s="233"/>
      <c r="FD63" s="233"/>
      <c r="FE63" s="233"/>
      <c r="FF63" s="233"/>
      <c r="FG63" s="233"/>
      <c r="FH63" s="233"/>
      <c r="FI63" s="233"/>
      <c r="FJ63" s="233"/>
      <c r="FK63" s="233"/>
      <c r="FL63" s="233"/>
      <c r="FM63" s="233"/>
      <c r="FN63" s="233"/>
      <c r="FO63" s="233"/>
      <c r="FP63" s="233"/>
      <c r="FQ63" s="233"/>
      <c r="FR63" s="233"/>
      <c r="FS63" s="233"/>
      <c r="FT63" s="233"/>
      <c r="FU63" s="233"/>
      <c r="FV63" s="233"/>
      <c r="FW63" s="233"/>
      <c r="FX63" s="233"/>
      <c r="FY63" s="233"/>
      <c r="FZ63" s="233"/>
      <c r="GA63" s="233"/>
      <c r="GB63" s="233"/>
      <c r="GC63" s="233"/>
      <c r="GD63" s="233"/>
      <c r="GE63" s="233"/>
      <c r="GF63" s="233"/>
      <c r="GG63" s="233"/>
      <c r="GH63" s="233"/>
      <c r="GI63" s="233"/>
      <c r="GJ63" s="233"/>
      <c r="GK63" s="233"/>
      <c r="GL63" s="233"/>
      <c r="GM63" s="233"/>
      <c r="GN63" s="233"/>
      <c r="GO63" s="233"/>
      <c r="GP63" s="233"/>
      <c r="GQ63" s="233"/>
      <c r="GR63" s="233"/>
      <c r="GS63" s="233"/>
      <c r="GT63" s="233"/>
      <c r="GU63" s="233"/>
      <c r="GV63" s="233"/>
      <c r="GW63" s="233"/>
      <c r="GX63" s="233"/>
      <c r="GY63" s="233"/>
      <c r="GZ63" s="233"/>
      <c r="HA63" s="233"/>
      <c r="HB63" s="233"/>
      <c r="HC63" s="233"/>
      <c r="HD63" s="233"/>
      <c r="HE63" s="233"/>
      <c r="HF63" s="233"/>
      <c r="HG63" s="233"/>
      <c r="HH63" s="233"/>
      <c r="HI63" s="233"/>
      <c r="HJ63" s="233"/>
      <c r="HK63" s="233"/>
      <c r="HL63" s="233"/>
      <c r="HM63" s="233"/>
      <c r="HN63" s="233"/>
      <c r="HO63" s="233"/>
      <c r="HP63" s="233"/>
      <c r="HQ63" s="233"/>
      <c r="HR63" s="233"/>
      <c r="HS63" s="233"/>
      <c r="HT63" s="233"/>
      <c r="HU63" s="233"/>
      <c r="HV63" s="233"/>
      <c r="HW63" s="233"/>
      <c r="HX63" s="233"/>
      <c r="HY63" s="233"/>
      <c r="HZ63" s="233"/>
      <c r="IA63" s="233"/>
      <c r="IB63" s="233"/>
      <c r="IC63" s="233"/>
      <c r="ID63" s="233"/>
      <c r="IE63" s="233"/>
      <c r="IF63" s="233"/>
      <c r="IG63" s="233"/>
      <c r="IH63" s="233"/>
      <c r="II63" s="233"/>
      <c r="IJ63" s="233"/>
      <c r="IK63" s="233"/>
      <c r="IL63" s="233"/>
      <c r="IM63" s="233"/>
      <c r="IN63" s="233"/>
      <c r="IO63" s="233"/>
      <c r="IP63" s="233"/>
      <c r="IQ63" s="233"/>
      <c r="IR63" s="233"/>
      <c r="IS63" s="233"/>
      <c r="IT63" s="233"/>
      <c r="IU63" s="233"/>
      <c r="IV63" s="233"/>
      <c r="IW63" s="233"/>
      <c r="IX63" s="233"/>
      <c r="IY63" s="233"/>
      <c r="IZ63" s="233"/>
      <c r="JA63" s="233"/>
      <c r="JB63" s="233"/>
      <c r="JC63" s="233"/>
      <c r="JD63" s="233"/>
      <c r="JE63" s="233"/>
      <c r="JF63" s="233"/>
      <c r="JG63" s="233"/>
      <c r="JH63" s="233"/>
      <c r="JI63" s="233"/>
      <c r="JJ63" s="233"/>
      <c r="JK63" s="233"/>
      <c r="JL63" s="233"/>
      <c r="JM63" s="233"/>
      <c r="JN63" s="233"/>
      <c r="JO63" s="233"/>
      <c r="JP63" s="233"/>
      <c r="JQ63" s="233"/>
      <c r="JR63" s="233"/>
      <c r="JS63" s="233"/>
      <c r="JT63" s="233"/>
      <c r="JU63" s="233"/>
      <c r="JV63" s="233"/>
      <c r="JW63" s="233"/>
      <c r="JX63" s="233"/>
      <c r="JY63" s="233"/>
      <c r="JZ63" s="233"/>
      <c r="KA63" s="233"/>
      <c r="KB63" s="233"/>
      <c r="KC63" s="233"/>
      <c r="KD63" s="233"/>
      <c r="KE63" s="233"/>
      <c r="KF63" s="233"/>
      <c r="KG63" s="233"/>
      <c r="KH63" s="233"/>
      <c r="KI63" s="233"/>
      <c r="KJ63" s="233"/>
      <c r="KK63" s="233"/>
      <c r="KL63" s="233"/>
      <c r="KM63" s="233"/>
      <c r="KN63" s="233"/>
      <c r="KO63" s="233"/>
      <c r="KP63" s="233"/>
      <c r="KQ63" s="233"/>
      <c r="KR63" s="233"/>
      <c r="KS63" s="233"/>
      <c r="KT63" s="233"/>
      <c r="KU63" s="233"/>
      <c r="KV63" s="233"/>
      <c r="KW63" s="233"/>
      <c r="KX63" s="233"/>
      <c r="KY63" s="233"/>
      <c r="KZ63" s="233"/>
      <c r="LA63" s="233"/>
      <c r="LB63" s="233"/>
      <c r="LC63" s="233"/>
      <c r="LD63" s="233"/>
      <c r="LE63" s="233"/>
      <c r="LF63" s="233"/>
      <c r="LG63" s="233"/>
      <c r="LH63" s="233"/>
      <c r="LI63" s="233"/>
      <c r="LJ63" s="233"/>
      <c r="LK63" s="233"/>
      <c r="LL63" s="233"/>
      <c r="LM63" s="233"/>
      <c r="LN63" s="233"/>
      <c r="LO63" s="233"/>
      <c r="LP63" s="233"/>
      <c r="LQ63" s="233"/>
      <c r="LR63" s="233"/>
      <c r="LS63" s="233"/>
      <c r="LT63" s="233"/>
      <c r="LU63" s="233"/>
      <c r="LV63" s="233"/>
      <c r="LW63" s="233"/>
      <c r="LX63" s="233"/>
      <c r="LY63" s="233"/>
      <c r="LZ63" s="233"/>
      <c r="MA63" s="233"/>
    </row>
    <row r="64" spans="1:339" s="54" customFormat="1" ht="60" hidden="1" customHeight="1" outlineLevel="1" x14ac:dyDescent="0.25">
      <c r="A64" s="50" t="s">
        <v>1304</v>
      </c>
      <c r="B64" s="50" t="s">
        <v>1429</v>
      </c>
      <c r="C64" s="50" t="s">
        <v>3129</v>
      </c>
      <c r="D64" s="50" t="s">
        <v>1441</v>
      </c>
      <c r="E64" s="164" t="s">
        <v>1410</v>
      </c>
      <c r="F64" s="90" t="s">
        <v>243</v>
      </c>
      <c r="G64" s="34"/>
      <c r="H64" s="165"/>
      <c r="I64" s="15"/>
      <c r="J64" s="17" t="str">
        <f>IF(H64&gt;0,(H64*VLOOKUP(Lookups!$K$11,Lookups!$M$10:$P$43,4,0)/VLOOKUP(I64,Lookups!$M$10:$P$43,4,0)),"")</f>
        <v/>
      </c>
      <c r="K64" s="193">
        <f>700*K14</f>
        <v>13.704401554172909</v>
      </c>
      <c r="L64" s="15" t="s">
        <v>260</v>
      </c>
      <c r="M64" s="17">
        <f>IF(K64&gt;0,(K64*VLOOKUP(Lookups!$K$11,Lookups!$M$10:$P$43,4,0)/VLOOKUP(L64,Lookups!$M$10:$P$43,4,0)),"")</f>
        <v>15.287593328781162</v>
      </c>
      <c r="N64" s="165"/>
      <c r="O64" s="15"/>
      <c r="P64" s="17" t="str">
        <f>IF(N64&gt;0,(N64*VLOOKUP(Lookups!$K$11,Lookups!$M$10:$P$43,4,0)/VLOOKUP(O64,Lookups!$M$10:$P$43,4,0)),"")</f>
        <v/>
      </c>
      <c r="Q64" s="234" t="s">
        <v>2376</v>
      </c>
      <c r="R64" s="15" t="s">
        <v>154</v>
      </c>
      <c r="S64" s="174" t="s">
        <v>2364</v>
      </c>
      <c r="T64" s="15" t="s">
        <v>923</v>
      </c>
      <c r="U64" s="90" t="s">
        <v>2282</v>
      </c>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3"/>
      <c r="BR64" s="233"/>
      <c r="BS64" s="233"/>
      <c r="BT64" s="233"/>
      <c r="BU64" s="233"/>
      <c r="BV64" s="233"/>
      <c r="BW64" s="233"/>
      <c r="BX64" s="233"/>
      <c r="BY64" s="233"/>
      <c r="BZ64" s="233"/>
      <c r="CA64" s="233"/>
      <c r="CB64" s="233"/>
      <c r="CC64" s="233"/>
      <c r="CD64" s="233"/>
      <c r="CE64" s="233"/>
      <c r="CF64" s="233"/>
      <c r="CG64" s="233"/>
      <c r="CH64" s="233"/>
      <c r="CI64" s="233"/>
      <c r="CJ64" s="233"/>
      <c r="CK64" s="233"/>
      <c r="CL64" s="233"/>
      <c r="CM64" s="233"/>
      <c r="CN64" s="233"/>
      <c r="CO64" s="233"/>
      <c r="CP64" s="233"/>
      <c r="CQ64" s="233"/>
      <c r="CR64" s="233"/>
      <c r="CS64" s="233"/>
      <c r="CT64" s="233"/>
      <c r="CU64" s="233"/>
      <c r="CV64" s="233"/>
      <c r="CW64" s="233"/>
      <c r="CX64" s="233"/>
      <c r="CY64" s="233"/>
      <c r="CZ64" s="233"/>
      <c r="DA64" s="233"/>
      <c r="DB64" s="233"/>
      <c r="DC64" s="233"/>
      <c r="DD64" s="233"/>
      <c r="DE64" s="233"/>
      <c r="DF64" s="233"/>
      <c r="DG64" s="233"/>
      <c r="DH64" s="233"/>
      <c r="DI64" s="233"/>
      <c r="DJ64" s="233"/>
      <c r="DK64" s="233"/>
      <c r="DL64" s="233"/>
      <c r="DM64" s="233"/>
      <c r="DN64" s="233"/>
      <c r="DO64" s="233"/>
      <c r="DP64" s="233"/>
      <c r="DQ64" s="233"/>
      <c r="DR64" s="233"/>
      <c r="DS64" s="233"/>
      <c r="DT64" s="233"/>
      <c r="DU64" s="233"/>
      <c r="DV64" s="233"/>
      <c r="DW64" s="233"/>
      <c r="DX64" s="233"/>
      <c r="DY64" s="233"/>
      <c r="DZ64" s="233"/>
      <c r="EA64" s="233"/>
      <c r="EB64" s="233"/>
      <c r="EC64" s="233"/>
      <c r="ED64" s="233"/>
      <c r="EE64" s="233"/>
      <c r="EF64" s="233"/>
      <c r="EG64" s="233"/>
      <c r="EH64" s="233"/>
      <c r="EI64" s="233"/>
      <c r="EJ64" s="233"/>
      <c r="EK64" s="233"/>
      <c r="EL64" s="233"/>
      <c r="EM64" s="233"/>
      <c r="EN64" s="233"/>
      <c r="EO64" s="233"/>
      <c r="EP64" s="233"/>
      <c r="EQ64" s="233"/>
      <c r="ER64" s="233"/>
      <c r="ES64" s="233"/>
      <c r="ET64" s="233"/>
      <c r="EU64" s="233"/>
      <c r="EV64" s="233"/>
      <c r="EW64" s="233"/>
      <c r="EX64" s="233"/>
      <c r="EY64" s="233"/>
      <c r="EZ64" s="233"/>
      <c r="FA64" s="233"/>
      <c r="FB64" s="233"/>
      <c r="FC64" s="233"/>
      <c r="FD64" s="233"/>
      <c r="FE64" s="233"/>
      <c r="FF64" s="233"/>
      <c r="FG64" s="233"/>
      <c r="FH64" s="233"/>
      <c r="FI64" s="233"/>
      <c r="FJ64" s="233"/>
      <c r="FK64" s="233"/>
      <c r="FL64" s="233"/>
      <c r="FM64" s="233"/>
      <c r="FN64" s="233"/>
      <c r="FO64" s="233"/>
      <c r="FP64" s="233"/>
      <c r="FQ64" s="233"/>
      <c r="FR64" s="233"/>
      <c r="FS64" s="233"/>
      <c r="FT64" s="233"/>
      <c r="FU64" s="233"/>
      <c r="FV64" s="233"/>
      <c r="FW64" s="233"/>
      <c r="FX64" s="233"/>
      <c r="FY64" s="233"/>
      <c r="FZ64" s="233"/>
      <c r="GA64" s="233"/>
      <c r="GB64" s="233"/>
      <c r="GC64" s="233"/>
      <c r="GD64" s="233"/>
      <c r="GE64" s="233"/>
      <c r="GF64" s="233"/>
      <c r="GG64" s="233"/>
      <c r="GH64" s="233"/>
      <c r="GI64" s="233"/>
      <c r="GJ64" s="233"/>
      <c r="GK64" s="233"/>
      <c r="GL64" s="233"/>
      <c r="GM64" s="233"/>
      <c r="GN64" s="233"/>
      <c r="GO64" s="233"/>
      <c r="GP64" s="233"/>
      <c r="GQ64" s="233"/>
      <c r="GR64" s="233"/>
      <c r="GS64" s="233"/>
      <c r="GT64" s="233"/>
      <c r="GU64" s="233"/>
      <c r="GV64" s="233"/>
      <c r="GW64" s="233"/>
      <c r="GX64" s="233"/>
      <c r="GY64" s="233"/>
      <c r="GZ64" s="233"/>
      <c r="HA64" s="233"/>
      <c r="HB64" s="233"/>
      <c r="HC64" s="233"/>
      <c r="HD64" s="233"/>
      <c r="HE64" s="233"/>
      <c r="HF64" s="233"/>
      <c r="HG64" s="233"/>
      <c r="HH64" s="233"/>
      <c r="HI64" s="233"/>
      <c r="HJ64" s="233"/>
      <c r="HK64" s="233"/>
      <c r="HL64" s="233"/>
      <c r="HM64" s="233"/>
      <c r="HN64" s="233"/>
      <c r="HO64" s="233"/>
      <c r="HP64" s="233"/>
      <c r="HQ64" s="233"/>
      <c r="HR64" s="233"/>
      <c r="HS64" s="233"/>
      <c r="HT64" s="233"/>
      <c r="HU64" s="233"/>
      <c r="HV64" s="233"/>
      <c r="HW64" s="233"/>
      <c r="HX64" s="233"/>
      <c r="HY64" s="233"/>
      <c r="HZ64" s="233"/>
      <c r="IA64" s="233"/>
      <c r="IB64" s="233"/>
      <c r="IC64" s="233"/>
      <c r="ID64" s="233"/>
      <c r="IE64" s="233"/>
      <c r="IF64" s="233"/>
      <c r="IG64" s="233"/>
      <c r="IH64" s="233"/>
      <c r="II64" s="233"/>
      <c r="IJ64" s="233"/>
      <c r="IK64" s="233"/>
      <c r="IL64" s="233"/>
      <c r="IM64" s="233"/>
      <c r="IN64" s="233"/>
      <c r="IO64" s="233"/>
      <c r="IP64" s="233"/>
      <c r="IQ64" s="233"/>
      <c r="IR64" s="233"/>
      <c r="IS64" s="233"/>
      <c r="IT64" s="233"/>
      <c r="IU64" s="233"/>
      <c r="IV64" s="233"/>
      <c r="IW64" s="233"/>
      <c r="IX64" s="233"/>
      <c r="IY64" s="233"/>
      <c r="IZ64" s="233"/>
      <c r="JA64" s="233"/>
      <c r="JB64" s="233"/>
      <c r="JC64" s="233"/>
      <c r="JD64" s="233"/>
      <c r="JE64" s="233"/>
      <c r="JF64" s="233"/>
      <c r="JG64" s="233"/>
      <c r="JH64" s="233"/>
      <c r="JI64" s="233"/>
      <c r="JJ64" s="233"/>
      <c r="JK64" s="233"/>
      <c r="JL64" s="233"/>
      <c r="JM64" s="233"/>
      <c r="JN64" s="233"/>
      <c r="JO64" s="233"/>
      <c r="JP64" s="233"/>
      <c r="JQ64" s="233"/>
      <c r="JR64" s="233"/>
      <c r="JS64" s="233"/>
      <c r="JT64" s="233"/>
      <c r="JU64" s="233"/>
      <c r="JV64" s="233"/>
      <c r="JW64" s="233"/>
      <c r="JX64" s="233"/>
      <c r="JY64" s="233"/>
      <c r="JZ64" s="233"/>
      <c r="KA64" s="233"/>
      <c r="KB64" s="233"/>
      <c r="KC64" s="233"/>
      <c r="KD64" s="233"/>
      <c r="KE64" s="233"/>
      <c r="KF64" s="233"/>
      <c r="KG64" s="233"/>
      <c r="KH64" s="233"/>
      <c r="KI64" s="233"/>
      <c r="KJ64" s="233"/>
      <c r="KK64" s="233"/>
      <c r="KL64" s="233"/>
      <c r="KM64" s="233"/>
      <c r="KN64" s="233"/>
      <c r="KO64" s="233"/>
      <c r="KP64" s="233"/>
      <c r="KQ64" s="233"/>
      <c r="KR64" s="233"/>
      <c r="KS64" s="233"/>
      <c r="KT64" s="233"/>
      <c r="KU64" s="233"/>
      <c r="KV64" s="233"/>
      <c r="KW64" s="233"/>
      <c r="KX64" s="233"/>
      <c r="KY64" s="233"/>
      <c r="KZ64" s="233"/>
      <c r="LA64" s="233"/>
      <c r="LB64" s="233"/>
      <c r="LC64" s="233"/>
      <c r="LD64" s="233"/>
      <c r="LE64" s="233"/>
      <c r="LF64" s="233"/>
      <c r="LG64" s="233"/>
      <c r="LH64" s="233"/>
      <c r="LI64" s="233"/>
      <c r="LJ64" s="233"/>
      <c r="LK64" s="233"/>
      <c r="LL64" s="233"/>
      <c r="LM64" s="233"/>
      <c r="LN64" s="233"/>
      <c r="LO64" s="233"/>
      <c r="LP64" s="233"/>
      <c r="LQ64" s="233"/>
      <c r="LR64" s="233"/>
      <c r="LS64" s="233"/>
      <c r="LT64" s="233"/>
      <c r="LU64" s="233"/>
      <c r="LV64" s="233"/>
      <c r="LW64" s="233"/>
      <c r="LX64" s="233"/>
      <c r="LY64" s="233"/>
      <c r="LZ64" s="233"/>
      <c r="MA64" s="233"/>
    </row>
    <row r="65" spans="1:339" s="47" customFormat="1" ht="60" hidden="1" customHeight="1" outlineLevel="1" x14ac:dyDescent="0.25">
      <c r="A65" s="50" t="s">
        <v>1304</v>
      </c>
      <c r="B65" s="50" t="s">
        <v>1429</v>
      </c>
      <c r="C65" s="50" t="s">
        <v>3130</v>
      </c>
      <c r="D65" s="50" t="s">
        <v>1442</v>
      </c>
      <c r="E65" s="164" t="s">
        <v>1410</v>
      </c>
      <c r="F65" s="90" t="s">
        <v>243</v>
      </c>
      <c r="G65" s="34"/>
      <c r="H65" s="46"/>
      <c r="I65" s="15"/>
      <c r="J65" s="17" t="str">
        <f>IF(H65&gt;0,(H65*VLOOKUP(Lookups!$K$11,Lookups!$M$10:$P$43,4,0)/VLOOKUP(I65,Lookups!$M$10:$P$43,4,0)),"")</f>
        <v/>
      </c>
      <c r="K65" s="201">
        <f>700*K17</f>
        <v>31.859071999999998</v>
      </c>
      <c r="L65" s="15" t="s">
        <v>260</v>
      </c>
      <c r="M65" s="111">
        <f>IF(K65&gt;0,(K65*VLOOKUP(Lookups!$K$11,Lookups!$M$10:$P$43,4,0)/VLOOKUP(L65,Lookups!$M$10:$P$43,4,0)),"")</f>
        <v>35.539569870532233</v>
      </c>
      <c r="N65" s="201">
        <f>700*N18</f>
        <v>1.1188350924102519</v>
      </c>
      <c r="O65" s="15" t="s">
        <v>260</v>
      </c>
      <c r="P65" s="111">
        <f>IF(N65&gt;0,(N65*VLOOKUP(Lookups!$K$11,Lookups!$M$10:$P$43,4,0)/VLOOKUP(O65,Lookups!$M$10:$P$43,4,0)),"")</f>
        <v>1.248087764148232</v>
      </c>
      <c r="Q65" s="234" t="s">
        <v>2376</v>
      </c>
      <c r="R65" s="15" t="s">
        <v>154</v>
      </c>
      <c r="S65" s="174" t="s">
        <v>2380</v>
      </c>
      <c r="T65" s="15" t="s">
        <v>923</v>
      </c>
      <c r="U65" s="90" t="s">
        <v>2282</v>
      </c>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3"/>
      <c r="BR65" s="233"/>
      <c r="BS65" s="233"/>
      <c r="BT65" s="233"/>
      <c r="BU65" s="233"/>
      <c r="BV65" s="233"/>
      <c r="BW65" s="233"/>
      <c r="BX65" s="233"/>
      <c r="BY65" s="233"/>
      <c r="BZ65" s="233"/>
      <c r="CA65" s="233"/>
      <c r="CB65" s="233"/>
      <c r="CC65" s="233"/>
      <c r="CD65" s="233"/>
      <c r="CE65" s="233"/>
      <c r="CF65" s="233"/>
      <c r="CG65" s="233"/>
      <c r="CH65" s="233"/>
      <c r="CI65" s="233"/>
      <c r="CJ65" s="233"/>
      <c r="CK65" s="233"/>
      <c r="CL65" s="233"/>
      <c r="CM65" s="233"/>
      <c r="CN65" s="233"/>
      <c r="CO65" s="233"/>
      <c r="CP65" s="233"/>
      <c r="CQ65" s="233"/>
      <c r="CR65" s="233"/>
      <c r="CS65" s="233"/>
      <c r="CT65" s="233"/>
      <c r="CU65" s="233"/>
      <c r="CV65" s="233"/>
      <c r="CW65" s="233"/>
      <c r="CX65" s="233"/>
      <c r="CY65" s="233"/>
      <c r="CZ65" s="233"/>
      <c r="DA65" s="233"/>
      <c r="DB65" s="233"/>
      <c r="DC65" s="233"/>
      <c r="DD65" s="233"/>
      <c r="DE65" s="233"/>
      <c r="DF65" s="233"/>
      <c r="DG65" s="233"/>
      <c r="DH65" s="233"/>
      <c r="DI65" s="233"/>
      <c r="DJ65" s="233"/>
      <c r="DK65" s="233"/>
      <c r="DL65" s="233"/>
      <c r="DM65" s="233"/>
      <c r="DN65" s="233"/>
      <c r="DO65" s="233"/>
      <c r="DP65" s="233"/>
      <c r="DQ65" s="233"/>
      <c r="DR65" s="233"/>
      <c r="DS65" s="233"/>
      <c r="DT65" s="233"/>
      <c r="DU65" s="233"/>
      <c r="DV65" s="233"/>
      <c r="DW65" s="233"/>
      <c r="DX65" s="233"/>
      <c r="DY65" s="233"/>
      <c r="DZ65" s="233"/>
      <c r="EA65" s="233"/>
      <c r="EB65" s="233"/>
      <c r="EC65" s="233"/>
      <c r="ED65" s="233"/>
      <c r="EE65" s="233"/>
      <c r="EF65" s="233"/>
      <c r="EG65" s="233"/>
      <c r="EH65" s="233"/>
      <c r="EI65" s="233"/>
      <c r="EJ65" s="233"/>
      <c r="EK65" s="233"/>
      <c r="EL65" s="233"/>
      <c r="EM65" s="233"/>
      <c r="EN65" s="233"/>
      <c r="EO65" s="233"/>
      <c r="EP65" s="233"/>
      <c r="EQ65" s="233"/>
      <c r="ER65" s="233"/>
      <c r="ES65" s="233"/>
      <c r="ET65" s="233"/>
      <c r="EU65" s="233"/>
      <c r="EV65" s="233"/>
      <c r="EW65" s="233"/>
      <c r="EX65" s="233"/>
      <c r="EY65" s="233"/>
      <c r="EZ65" s="233"/>
      <c r="FA65" s="233"/>
      <c r="FB65" s="233"/>
      <c r="FC65" s="233"/>
      <c r="FD65" s="233"/>
      <c r="FE65" s="233"/>
      <c r="FF65" s="233"/>
      <c r="FG65" s="233"/>
      <c r="FH65" s="233"/>
      <c r="FI65" s="233"/>
      <c r="FJ65" s="233"/>
      <c r="FK65" s="233"/>
      <c r="FL65" s="233"/>
      <c r="FM65" s="233"/>
      <c r="FN65" s="233"/>
      <c r="FO65" s="233"/>
      <c r="FP65" s="233"/>
      <c r="FQ65" s="233"/>
      <c r="FR65" s="233"/>
      <c r="FS65" s="233"/>
      <c r="FT65" s="233"/>
      <c r="FU65" s="233"/>
      <c r="FV65" s="233"/>
      <c r="FW65" s="233"/>
      <c r="FX65" s="233"/>
      <c r="FY65" s="233"/>
      <c r="FZ65" s="233"/>
      <c r="GA65" s="233"/>
      <c r="GB65" s="233"/>
      <c r="GC65" s="233"/>
      <c r="GD65" s="233"/>
      <c r="GE65" s="233"/>
      <c r="GF65" s="233"/>
      <c r="GG65" s="233"/>
      <c r="GH65" s="233"/>
      <c r="GI65" s="233"/>
      <c r="GJ65" s="233"/>
      <c r="GK65" s="233"/>
      <c r="GL65" s="233"/>
      <c r="GM65" s="233"/>
      <c r="GN65" s="233"/>
      <c r="GO65" s="233"/>
      <c r="GP65" s="233"/>
      <c r="GQ65" s="233"/>
      <c r="GR65" s="233"/>
      <c r="GS65" s="233"/>
      <c r="GT65" s="233"/>
      <c r="GU65" s="233"/>
      <c r="GV65" s="233"/>
      <c r="GW65" s="233"/>
      <c r="GX65" s="233"/>
      <c r="GY65" s="233"/>
      <c r="GZ65" s="233"/>
      <c r="HA65" s="233"/>
      <c r="HB65" s="233"/>
      <c r="HC65" s="233"/>
      <c r="HD65" s="233"/>
      <c r="HE65" s="233"/>
      <c r="HF65" s="233"/>
      <c r="HG65" s="233"/>
      <c r="HH65" s="233"/>
      <c r="HI65" s="233"/>
      <c r="HJ65" s="233"/>
      <c r="HK65" s="233"/>
      <c r="HL65" s="233"/>
      <c r="HM65" s="233"/>
      <c r="HN65" s="233"/>
      <c r="HO65" s="233"/>
      <c r="HP65" s="233"/>
      <c r="HQ65" s="233"/>
      <c r="HR65" s="233"/>
      <c r="HS65" s="233"/>
      <c r="HT65" s="233"/>
      <c r="HU65" s="233"/>
      <c r="HV65" s="233"/>
      <c r="HW65" s="233"/>
      <c r="HX65" s="233"/>
      <c r="HY65" s="233"/>
      <c r="HZ65" s="233"/>
      <c r="IA65" s="233"/>
      <c r="IB65" s="233"/>
      <c r="IC65" s="233"/>
      <c r="ID65" s="233"/>
      <c r="IE65" s="233"/>
      <c r="IF65" s="233"/>
      <c r="IG65" s="233"/>
      <c r="IH65" s="233"/>
      <c r="II65" s="233"/>
      <c r="IJ65" s="233"/>
      <c r="IK65" s="233"/>
      <c r="IL65" s="233"/>
      <c r="IM65" s="233"/>
      <c r="IN65" s="233"/>
      <c r="IO65" s="233"/>
      <c r="IP65" s="233"/>
      <c r="IQ65" s="233"/>
      <c r="IR65" s="233"/>
      <c r="IS65" s="233"/>
      <c r="IT65" s="233"/>
      <c r="IU65" s="233"/>
      <c r="IV65" s="233"/>
      <c r="IW65" s="233"/>
      <c r="IX65" s="233"/>
      <c r="IY65" s="233"/>
      <c r="IZ65" s="233"/>
      <c r="JA65" s="233"/>
      <c r="JB65" s="233"/>
      <c r="JC65" s="233"/>
      <c r="JD65" s="233"/>
      <c r="JE65" s="233"/>
      <c r="JF65" s="233"/>
      <c r="JG65" s="233"/>
      <c r="JH65" s="233"/>
      <c r="JI65" s="233"/>
      <c r="JJ65" s="233"/>
      <c r="JK65" s="233"/>
      <c r="JL65" s="233"/>
      <c r="JM65" s="233"/>
      <c r="JN65" s="233"/>
      <c r="JO65" s="233"/>
      <c r="JP65" s="233"/>
      <c r="JQ65" s="233"/>
      <c r="JR65" s="233"/>
      <c r="JS65" s="233"/>
      <c r="JT65" s="233"/>
      <c r="JU65" s="233"/>
      <c r="JV65" s="233"/>
      <c r="JW65" s="233"/>
      <c r="JX65" s="233"/>
      <c r="JY65" s="233"/>
      <c r="JZ65" s="233"/>
      <c r="KA65" s="233"/>
      <c r="KB65" s="233"/>
      <c r="KC65" s="233"/>
      <c r="KD65" s="233"/>
      <c r="KE65" s="233"/>
      <c r="KF65" s="233"/>
      <c r="KG65" s="233"/>
      <c r="KH65" s="233"/>
      <c r="KI65" s="233"/>
      <c r="KJ65" s="233"/>
      <c r="KK65" s="233"/>
      <c r="KL65" s="233"/>
      <c r="KM65" s="233"/>
      <c r="KN65" s="233"/>
      <c r="KO65" s="233"/>
      <c r="KP65" s="233"/>
      <c r="KQ65" s="233"/>
      <c r="KR65" s="233"/>
      <c r="KS65" s="233"/>
      <c r="KT65" s="233"/>
      <c r="KU65" s="233"/>
      <c r="KV65" s="233"/>
      <c r="KW65" s="233"/>
      <c r="KX65" s="233"/>
      <c r="KY65" s="233"/>
      <c r="KZ65" s="233"/>
      <c r="LA65" s="233"/>
      <c r="LB65" s="233"/>
      <c r="LC65" s="233"/>
      <c r="LD65" s="233"/>
      <c r="LE65" s="233"/>
      <c r="LF65" s="233"/>
      <c r="LG65" s="233"/>
      <c r="LH65" s="233"/>
      <c r="LI65" s="233"/>
      <c r="LJ65" s="233"/>
      <c r="LK65" s="233"/>
      <c r="LL65" s="233"/>
      <c r="LM65" s="233"/>
      <c r="LN65" s="233"/>
      <c r="LO65" s="233"/>
      <c r="LP65" s="233"/>
      <c r="LQ65" s="233"/>
      <c r="LR65" s="233"/>
      <c r="LS65" s="233"/>
      <c r="LT65" s="233"/>
      <c r="LU65" s="233"/>
      <c r="LV65" s="233"/>
      <c r="LW65" s="233"/>
      <c r="LX65" s="233"/>
      <c r="LY65" s="233"/>
      <c r="LZ65" s="233"/>
      <c r="MA65" s="233"/>
    </row>
    <row r="66" spans="1:339" s="47" customFormat="1" ht="60" hidden="1" customHeight="1" outlineLevel="1" x14ac:dyDescent="0.25">
      <c r="A66" s="50" t="s">
        <v>1304</v>
      </c>
      <c r="B66" s="50" t="s">
        <v>1429</v>
      </c>
      <c r="C66" s="50" t="s">
        <v>3131</v>
      </c>
      <c r="D66" s="50" t="s">
        <v>1501</v>
      </c>
      <c r="E66" s="164" t="s">
        <v>1410</v>
      </c>
      <c r="F66" s="90" t="s">
        <v>243</v>
      </c>
      <c r="G66" s="34"/>
      <c r="H66" s="46"/>
      <c r="I66" s="15"/>
      <c r="J66" s="17" t="str">
        <f>IF(H66&gt;0,(H66*VLOOKUP(Lookups!$K$11,Lookups!$M$10:$P$43,4,0)/VLOOKUP(I66,Lookups!$M$10:$P$43,4,0)),"")</f>
        <v/>
      </c>
      <c r="K66" s="189">
        <v>18</v>
      </c>
      <c r="L66" s="15" t="s">
        <v>258</v>
      </c>
      <c r="M66" s="17">
        <f>IF(K66&gt;0,(K66*VLOOKUP(Lookups!$K$11,Lookups!$M$10:$P$43,4,0)/VLOOKUP(L66,Lookups!$M$10:$P$43,4,0)),"")</f>
        <v>20.823881051159148</v>
      </c>
      <c r="N66" s="114"/>
      <c r="O66" s="15"/>
      <c r="P66" s="111" t="str">
        <f>IF(N66&gt;0,(N66*VLOOKUP(Lookups!$K$11,Lookups!$M$10:$P$43,4,0)/VLOOKUP(O66,Lookups!$M$10:$P$43,4,0)),"")</f>
        <v/>
      </c>
      <c r="Q66" s="235" t="s">
        <v>2289</v>
      </c>
      <c r="R66" s="15" t="s">
        <v>152</v>
      </c>
      <c r="S66" s="174" t="s">
        <v>2400</v>
      </c>
      <c r="T66" s="15"/>
      <c r="U66" s="90"/>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3"/>
      <c r="BO66" s="233"/>
      <c r="BP66" s="233"/>
      <c r="BQ66" s="233"/>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R66" s="233"/>
      <c r="CS66" s="233"/>
      <c r="CT66" s="233"/>
      <c r="CU66" s="233"/>
      <c r="CV66" s="233"/>
      <c r="CW66" s="233"/>
      <c r="CX66" s="233"/>
      <c r="CY66" s="233"/>
      <c r="CZ66" s="233"/>
      <c r="DA66" s="233"/>
      <c r="DB66" s="233"/>
      <c r="DC66" s="233"/>
      <c r="DD66" s="233"/>
      <c r="DE66" s="233"/>
      <c r="DF66" s="233"/>
      <c r="DG66" s="233"/>
      <c r="DH66" s="233"/>
      <c r="DI66" s="233"/>
      <c r="DJ66" s="233"/>
      <c r="DK66" s="233"/>
      <c r="DL66" s="233"/>
      <c r="DM66" s="233"/>
      <c r="DN66" s="233"/>
      <c r="DO66" s="233"/>
      <c r="DP66" s="233"/>
      <c r="DQ66" s="233"/>
      <c r="DR66" s="233"/>
      <c r="DS66" s="233"/>
      <c r="DT66" s="233"/>
      <c r="DU66" s="233"/>
      <c r="DV66" s="233"/>
      <c r="DW66" s="233"/>
      <c r="DX66" s="233"/>
      <c r="DY66" s="233"/>
      <c r="DZ66" s="233"/>
      <c r="EA66" s="233"/>
      <c r="EB66" s="233"/>
      <c r="EC66" s="233"/>
      <c r="ED66" s="233"/>
      <c r="EE66" s="233"/>
      <c r="EF66" s="233"/>
      <c r="EG66" s="233"/>
      <c r="EH66" s="233"/>
      <c r="EI66" s="233"/>
      <c r="EJ66" s="233"/>
      <c r="EK66" s="233"/>
      <c r="EL66" s="233"/>
      <c r="EM66" s="233"/>
      <c r="EN66" s="233"/>
      <c r="EO66" s="233"/>
      <c r="EP66" s="233"/>
      <c r="EQ66" s="233"/>
      <c r="ER66" s="233"/>
      <c r="ES66" s="233"/>
      <c r="ET66" s="233"/>
      <c r="EU66" s="233"/>
      <c r="EV66" s="233"/>
      <c r="EW66" s="233"/>
      <c r="EX66" s="233"/>
      <c r="EY66" s="233"/>
      <c r="EZ66" s="233"/>
      <c r="FA66" s="233"/>
      <c r="FB66" s="233"/>
      <c r="FC66" s="233"/>
      <c r="FD66" s="233"/>
      <c r="FE66" s="233"/>
      <c r="FF66" s="233"/>
      <c r="FG66" s="233"/>
      <c r="FH66" s="233"/>
      <c r="FI66" s="233"/>
      <c r="FJ66" s="233"/>
      <c r="FK66" s="233"/>
      <c r="FL66" s="233"/>
      <c r="FM66" s="233"/>
      <c r="FN66" s="233"/>
      <c r="FO66" s="233"/>
      <c r="FP66" s="233"/>
      <c r="FQ66" s="233"/>
      <c r="FR66" s="233"/>
      <c r="FS66" s="233"/>
      <c r="FT66" s="233"/>
      <c r="FU66" s="233"/>
      <c r="FV66" s="233"/>
      <c r="FW66" s="233"/>
      <c r="FX66" s="233"/>
      <c r="FY66" s="233"/>
      <c r="FZ66" s="233"/>
      <c r="GA66" s="233"/>
      <c r="GB66" s="233"/>
      <c r="GC66" s="233"/>
      <c r="GD66" s="233"/>
      <c r="GE66" s="233"/>
      <c r="GF66" s="233"/>
      <c r="GG66" s="233"/>
      <c r="GH66" s="233"/>
      <c r="GI66" s="233"/>
      <c r="GJ66" s="233"/>
      <c r="GK66" s="233"/>
      <c r="GL66" s="233"/>
      <c r="GM66" s="233"/>
      <c r="GN66" s="233"/>
      <c r="GO66" s="233"/>
      <c r="GP66" s="233"/>
      <c r="GQ66" s="233"/>
      <c r="GR66" s="233"/>
      <c r="GS66" s="233"/>
      <c r="GT66" s="233"/>
      <c r="GU66" s="233"/>
      <c r="GV66" s="233"/>
      <c r="GW66" s="233"/>
      <c r="GX66" s="233"/>
      <c r="GY66" s="233"/>
      <c r="GZ66" s="233"/>
      <c r="HA66" s="233"/>
      <c r="HB66" s="233"/>
      <c r="HC66" s="233"/>
      <c r="HD66" s="233"/>
      <c r="HE66" s="233"/>
      <c r="HF66" s="233"/>
      <c r="HG66" s="233"/>
      <c r="HH66" s="233"/>
      <c r="HI66" s="233"/>
      <c r="HJ66" s="233"/>
      <c r="HK66" s="233"/>
      <c r="HL66" s="233"/>
      <c r="HM66" s="233"/>
      <c r="HN66" s="233"/>
      <c r="HO66" s="233"/>
      <c r="HP66" s="233"/>
      <c r="HQ66" s="233"/>
      <c r="HR66" s="233"/>
      <c r="HS66" s="233"/>
      <c r="HT66" s="233"/>
      <c r="HU66" s="233"/>
      <c r="HV66" s="233"/>
      <c r="HW66" s="233"/>
      <c r="HX66" s="233"/>
      <c r="HY66" s="233"/>
      <c r="HZ66" s="233"/>
      <c r="IA66" s="233"/>
      <c r="IB66" s="233"/>
      <c r="IC66" s="233"/>
      <c r="ID66" s="233"/>
      <c r="IE66" s="233"/>
      <c r="IF66" s="233"/>
      <c r="IG66" s="233"/>
      <c r="IH66" s="233"/>
      <c r="II66" s="233"/>
      <c r="IJ66" s="233"/>
      <c r="IK66" s="233"/>
      <c r="IL66" s="233"/>
      <c r="IM66" s="233"/>
      <c r="IN66" s="233"/>
      <c r="IO66" s="233"/>
      <c r="IP66" s="233"/>
      <c r="IQ66" s="233"/>
      <c r="IR66" s="233"/>
      <c r="IS66" s="233"/>
      <c r="IT66" s="233"/>
      <c r="IU66" s="233"/>
      <c r="IV66" s="233"/>
      <c r="IW66" s="233"/>
      <c r="IX66" s="233"/>
      <c r="IY66" s="233"/>
      <c r="IZ66" s="233"/>
      <c r="JA66" s="233"/>
      <c r="JB66" s="233"/>
      <c r="JC66" s="233"/>
      <c r="JD66" s="233"/>
      <c r="JE66" s="233"/>
      <c r="JF66" s="233"/>
      <c r="JG66" s="233"/>
      <c r="JH66" s="233"/>
      <c r="JI66" s="233"/>
      <c r="JJ66" s="233"/>
      <c r="JK66" s="233"/>
      <c r="JL66" s="233"/>
      <c r="JM66" s="233"/>
      <c r="JN66" s="233"/>
      <c r="JO66" s="233"/>
      <c r="JP66" s="233"/>
      <c r="JQ66" s="233"/>
      <c r="JR66" s="233"/>
      <c r="JS66" s="233"/>
      <c r="JT66" s="233"/>
      <c r="JU66" s="233"/>
      <c r="JV66" s="233"/>
      <c r="JW66" s="233"/>
      <c r="JX66" s="233"/>
      <c r="JY66" s="233"/>
      <c r="JZ66" s="233"/>
      <c r="KA66" s="233"/>
      <c r="KB66" s="233"/>
      <c r="KC66" s="233"/>
      <c r="KD66" s="233"/>
      <c r="KE66" s="233"/>
      <c r="KF66" s="233"/>
      <c r="KG66" s="233"/>
      <c r="KH66" s="233"/>
      <c r="KI66" s="233"/>
      <c r="KJ66" s="233"/>
      <c r="KK66" s="233"/>
      <c r="KL66" s="233"/>
      <c r="KM66" s="233"/>
      <c r="KN66" s="233"/>
      <c r="KO66" s="233"/>
      <c r="KP66" s="233"/>
      <c r="KQ66" s="233"/>
      <c r="KR66" s="233"/>
      <c r="KS66" s="233"/>
      <c r="KT66" s="233"/>
      <c r="KU66" s="233"/>
      <c r="KV66" s="233"/>
      <c r="KW66" s="233"/>
      <c r="KX66" s="233"/>
      <c r="KY66" s="233"/>
      <c r="KZ66" s="233"/>
      <c r="LA66" s="233"/>
      <c r="LB66" s="233"/>
      <c r="LC66" s="233"/>
      <c r="LD66" s="233"/>
      <c r="LE66" s="233"/>
      <c r="LF66" s="233"/>
      <c r="LG66" s="233"/>
      <c r="LH66" s="233"/>
      <c r="LI66" s="233"/>
      <c r="LJ66" s="233"/>
      <c r="LK66" s="233"/>
      <c r="LL66" s="233"/>
      <c r="LM66" s="233"/>
      <c r="LN66" s="233"/>
      <c r="LO66" s="233"/>
      <c r="LP66" s="233"/>
      <c r="LQ66" s="233"/>
      <c r="LR66" s="233"/>
      <c r="LS66" s="233"/>
      <c r="LT66" s="233"/>
      <c r="LU66" s="233"/>
      <c r="LV66" s="233"/>
      <c r="LW66" s="233"/>
      <c r="LX66" s="233"/>
      <c r="LY66" s="233"/>
      <c r="LZ66" s="233"/>
      <c r="MA66" s="233"/>
    </row>
    <row r="67" spans="1:339" s="47" customFormat="1" ht="60" customHeight="1" collapsed="1" x14ac:dyDescent="0.25">
      <c r="A67" s="40" t="s">
        <v>1304</v>
      </c>
      <c r="B67" s="40" t="s">
        <v>1446</v>
      </c>
      <c r="C67" s="48" t="s">
        <v>1459</v>
      </c>
      <c r="D67" s="40" t="s">
        <v>1447</v>
      </c>
      <c r="E67" s="160" t="s">
        <v>1410</v>
      </c>
      <c r="F67" s="90" t="s">
        <v>243</v>
      </c>
      <c r="G67" s="34"/>
      <c r="H67" s="46"/>
      <c r="I67" s="15"/>
      <c r="J67" s="17" t="str">
        <f>IF(H67&gt;0,(H67*VLOOKUP(Lookups!$K$11,Lookups!$M$10:$P$43,4,0)/VLOOKUP(I67,Lookups!$M$10:$P$43,4,0)),"")</f>
        <v/>
      </c>
      <c r="K67" s="189">
        <v>143</v>
      </c>
      <c r="L67" s="15" t="s">
        <v>260</v>
      </c>
      <c r="M67" s="17">
        <f>IF(K67&gt;0,(K67*VLOOKUP(Lookups!$K$11,Lookups!$M$10:$P$43,4,0)/VLOOKUP(L67,Lookups!$M$10:$P$43,4,0)),"")</f>
        <v>159.51997884577773</v>
      </c>
      <c r="N67" s="46"/>
      <c r="O67" s="15"/>
      <c r="P67" s="17" t="str">
        <f>IF(N67&gt;0,(N67*VLOOKUP(Lookups!$K$11,Lookups!$M$10:$P$43,4,0)/VLOOKUP(O67,Lookups!$M$10:$P$43,4,0)),"")</f>
        <v/>
      </c>
      <c r="Q67" s="235" t="s">
        <v>2366</v>
      </c>
      <c r="R67" s="15" t="s">
        <v>154</v>
      </c>
      <c r="S67" s="107" t="s">
        <v>2133</v>
      </c>
      <c r="T67" s="15" t="s">
        <v>923</v>
      </c>
      <c r="U67" s="90" t="s">
        <v>2282</v>
      </c>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3"/>
      <c r="AU67" s="233"/>
      <c r="AV67" s="233"/>
      <c r="AW67" s="233"/>
      <c r="AX67" s="233"/>
      <c r="AY67" s="233"/>
      <c r="AZ67" s="233"/>
      <c r="BA67" s="233"/>
      <c r="BB67" s="233"/>
      <c r="BC67" s="233"/>
      <c r="BD67" s="233"/>
      <c r="BE67" s="233"/>
      <c r="BF67" s="233"/>
      <c r="BG67" s="233"/>
      <c r="BH67" s="233"/>
      <c r="BI67" s="233"/>
      <c r="BJ67" s="233"/>
      <c r="BK67" s="233"/>
      <c r="BL67" s="233"/>
      <c r="BM67" s="233"/>
      <c r="BN67" s="233"/>
      <c r="BO67" s="233"/>
      <c r="BP67" s="233"/>
      <c r="BQ67" s="233"/>
      <c r="BR67" s="233"/>
      <c r="BS67" s="233"/>
      <c r="BT67" s="233"/>
      <c r="BU67" s="233"/>
      <c r="BV67" s="233"/>
      <c r="BW67" s="233"/>
      <c r="BX67" s="233"/>
      <c r="BY67" s="233"/>
      <c r="BZ67" s="233"/>
      <c r="CA67" s="233"/>
      <c r="CB67" s="233"/>
      <c r="CC67" s="233"/>
      <c r="CD67" s="233"/>
      <c r="CE67" s="233"/>
      <c r="CF67" s="233"/>
      <c r="CG67" s="233"/>
      <c r="CH67" s="233"/>
      <c r="CI67" s="233"/>
      <c r="CJ67" s="233"/>
      <c r="CK67" s="233"/>
      <c r="CL67" s="233"/>
      <c r="CM67" s="233"/>
      <c r="CN67" s="233"/>
      <c r="CO67" s="233"/>
      <c r="CP67" s="233"/>
      <c r="CQ67" s="233"/>
      <c r="CR67" s="233"/>
      <c r="CS67" s="233"/>
      <c r="CT67" s="233"/>
      <c r="CU67" s="233"/>
      <c r="CV67" s="233"/>
      <c r="CW67" s="233"/>
      <c r="CX67" s="233"/>
      <c r="CY67" s="233"/>
      <c r="CZ67" s="233"/>
      <c r="DA67" s="233"/>
      <c r="DB67" s="233"/>
      <c r="DC67" s="233"/>
      <c r="DD67" s="233"/>
      <c r="DE67" s="233"/>
      <c r="DF67" s="233"/>
      <c r="DG67" s="233"/>
      <c r="DH67" s="233"/>
      <c r="DI67" s="233"/>
      <c r="DJ67" s="233"/>
      <c r="DK67" s="233"/>
      <c r="DL67" s="233"/>
      <c r="DM67" s="233"/>
      <c r="DN67" s="233"/>
      <c r="DO67" s="233"/>
      <c r="DP67" s="233"/>
      <c r="DQ67" s="233"/>
      <c r="DR67" s="233"/>
      <c r="DS67" s="233"/>
      <c r="DT67" s="233"/>
      <c r="DU67" s="233"/>
      <c r="DV67" s="233"/>
      <c r="DW67" s="233"/>
      <c r="DX67" s="233"/>
      <c r="DY67" s="233"/>
      <c r="DZ67" s="233"/>
      <c r="EA67" s="233"/>
      <c r="EB67" s="233"/>
      <c r="EC67" s="233"/>
      <c r="ED67" s="233"/>
      <c r="EE67" s="233"/>
      <c r="EF67" s="233"/>
      <c r="EG67" s="233"/>
      <c r="EH67" s="233"/>
      <c r="EI67" s="233"/>
      <c r="EJ67" s="233"/>
      <c r="EK67" s="233"/>
      <c r="EL67" s="233"/>
      <c r="EM67" s="233"/>
      <c r="EN67" s="233"/>
      <c r="EO67" s="233"/>
      <c r="EP67" s="233"/>
      <c r="EQ67" s="233"/>
      <c r="ER67" s="233"/>
      <c r="ES67" s="233"/>
      <c r="ET67" s="233"/>
      <c r="EU67" s="233"/>
      <c r="EV67" s="233"/>
      <c r="EW67" s="233"/>
      <c r="EX67" s="233"/>
      <c r="EY67" s="233"/>
      <c r="EZ67" s="233"/>
      <c r="FA67" s="233"/>
      <c r="FB67" s="233"/>
      <c r="FC67" s="233"/>
      <c r="FD67" s="233"/>
      <c r="FE67" s="233"/>
      <c r="FF67" s="233"/>
      <c r="FG67" s="233"/>
      <c r="FH67" s="233"/>
      <c r="FI67" s="233"/>
      <c r="FJ67" s="233"/>
      <c r="FK67" s="233"/>
      <c r="FL67" s="233"/>
      <c r="FM67" s="233"/>
      <c r="FN67" s="233"/>
      <c r="FO67" s="233"/>
      <c r="FP67" s="233"/>
      <c r="FQ67" s="233"/>
      <c r="FR67" s="233"/>
      <c r="FS67" s="233"/>
      <c r="FT67" s="233"/>
      <c r="FU67" s="233"/>
      <c r="FV67" s="233"/>
      <c r="FW67" s="233"/>
      <c r="FX67" s="233"/>
      <c r="FY67" s="233"/>
      <c r="FZ67" s="233"/>
      <c r="GA67" s="233"/>
      <c r="GB67" s="233"/>
      <c r="GC67" s="233"/>
      <c r="GD67" s="233"/>
      <c r="GE67" s="233"/>
      <c r="GF67" s="233"/>
      <c r="GG67" s="233"/>
      <c r="GH67" s="233"/>
      <c r="GI67" s="233"/>
      <c r="GJ67" s="233"/>
      <c r="GK67" s="233"/>
      <c r="GL67" s="233"/>
      <c r="GM67" s="233"/>
      <c r="GN67" s="233"/>
      <c r="GO67" s="233"/>
      <c r="GP67" s="233"/>
      <c r="GQ67" s="233"/>
      <c r="GR67" s="233"/>
      <c r="GS67" s="233"/>
      <c r="GT67" s="233"/>
      <c r="GU67" s="233"/>
      <c r="GV67" s="233"/>
      <c r="GW67" s="233"/>
      <c r="GX67" s="233"/>
      <c r="GY67" s="233"/>
      <c r="GZ67" s="233"/>
      <c r="HA67" s="233"/>
      <c r="HB67" s="233"/>
      <c r="HC67" s="233"/>
      <c r="HD67" s="233"/>
      <c r="HE67" s="233"/>
      <c r="HF67" s="233"/>
      <c r="HG67" s="233"/>
      <c r="HH67" s="233"/>
      <c r="HI67" s="233"/>
      <c r="HJ67" s="233"/>
      <c r="HK67" s="233"/>
      <c r="HL67" s="233"/>
      <c r="HM67" s="233"/>
      <c r="HN67" s="233"/>
      <c r="HO67" s="233"/>
      <c r="HP67" s="233"/>
      <c r="HQ67" s="233"/>
      <c r="HR67" s="233"/>
      <c r="HS67" s="233"/>
      <c r="HT67" s="233"/>
      <c r="HU67" s="233"/>
      <c r="HV67" s="233"/>
      <c r="HW67" s="233"/>
      <c r="HX67" s="233"/>
      <c r="HY67" s="233"/>
      <c r="HZ67" s="233"/>
      <c r="IA67" s="233"/>
      <c r="IB67" s="233"/>
      <c r="IC67" s="233"/>
      <c r="ID67" s="233"/>
      <c r="IE67" s="233"/>
      <c r="IF67" s="233"/>
      <c r="IG67" s="233"/>
      <c r="IH67" s="233"/>
      <c r="II67" s="233"/>
      <c r="IJ67" s="233"/>
      <c r="IK67" s="233"/>
      <c r="IL67" s="233"/>
      <c r="IM67" s="233"/>
      <c r="IN67" s="233"/>
      <c r="IO67" s="233"/>
      <c r="IP67" s="233"/>
      <c r="IQ67" s="233"/>
      <c r="IR67" s="233"/>
      <c r="IS67" s="233"/>
      <c r="IT67" s="233"/>
      <c r="IU67" s="233"/>
      <c r="IV67" s="233"/>
      <c r="IW67" s="233"/>
      <c r="IX67" s="233"/>
      <c r="IY67" s="233"/>
      <c r="IZ67" s="233"/>
      <c r="JA67" s="233"/>
      <c r="JB67" s="233"/>
      <c r="JC67" s="233"/>
      <c r="JD67" s="233"/>
      <c r="JE67" s="233"/>
      <c r="JF67" s="233"/>
      <c r="JG67" s="233"/>
      <c r="JH67" s="233"/>
      <c r="JI67" s="233"/>
      <c r="JJ67" s="233"/>
      <c r="JK67" s="233"/>
      <c r="JL67" s="233"/>
      <c r="JM67" s="233"/>
      <c r="JN67" s="233"/>
      <c r="JO67" s="233"/>
      <c r="JP67" s="233"/>
      <c r="JQ67" s="233"/>
      <c r="JR67" s="233"/>
      <c r="JS67" s="233"/>
      <c r="JT67" s="233"/>
      <c r="JU67" s="233"/>
      <c r="JV67" s="233"/>
      <c r="JW67" s="233"/>
      <c r="JX67" s="233"/>
      <c r="JY67" s="233"/>
      <c r="JZ67" s="233"/>
      <c r="KA67" s="233"/>
      <c r="KB67" s="233"/>
      <c r="KC67" s="233"/>
      <c r="KD67" s="233"/>
      <c r="KE67" s="233"/>
      <c r="KF67" s="233"/>
      <c r="KG67" s="233"/>
      <c r="KH67" s="233"/>
      <c r="KI67" s="233"/>
      <c r="KJ67" s="233"/>
      <c r="KK67" s="233"/>
      <c r="KL67" s="233"/>
      <c r="KM67" s="233"/>
      <c r="KN67" s="233"/>
      <c r="KO67" s="233"/>
      <c r="KP67" s="233"/>
      <c r="KQ67" s="233"/>
      <c r="KR67" s="233"/>
      <c r="KS67" s="233"/>
      <c r="KT67" s="233"/>
      <c r="KU67" s="233"/>
      <c r="KV67" s="233"/>
      <c r="KW67" s="233"/>
      <c r="KX67" s="233"/>
      <c r="KY67" s="233"/>
      <c r="KZ67" s="233"/>
      <c r="LA67" s="233"/>
      <c r="LB67" s="233"/>
      <c r="LC67" s="233"/>
      <c r="LD67" s="233"/>
      <c r="LE67" s="233"/>
      <c r="LF67" s="233"/>
      <c r="LG67" s="233"/>
      <c r="LH67" s="233"/>
      <c r="LI67" s="233"/>
      <c r="LJ67" s="233"/>
      <c r="LK67" s="233"/>
      <c r="LL67" s="233"/>
      <c r="LM67" s="233"/>
      <c r="LN67" s="233"/>
      <c r="LO67" s="233"/>
      <c r="LP67" s="233"/>
      <c r="LQ67" s="233"/>
      <c r="LR67" s="233"/>
      <c r="LS67" s="233"/>
      <c r="LT67" s="233"/>
      <c r="LU67" s="233"/>
      <c r="LV67" s="233"/>
      <c r="LW67" s="233"/>
      <c r="LX67" s="233"/>
      <c r="LY67" s="233"/>
      <c r="LZ67" s="233"/>
      <c r="MA67" s="233"/>
    </row>
    <row r="68" spans="1:339" s="47" customFormat="1" ht="60" hidden="1" customHeight="1" outlineLevel="1" x14ac:dyDescent="0.25">
      <c r="A68" s="50" t="s">
        <v>1304</v>
      </c>
      <c r="B68" s="50" t="s">
        <v>1446</v>
      </c>
      <c r="C68" s="50" t="s">
        <v>1460</v>
      </c>
      <c r="D68" s="50" t="s">
        <v>1453</v>
      </c>
      <c r="E68" s="160" t="s">
        <v>1410</v>
      </c>
      <c r="F68" s="90" t="s">
        <v>243</v>
      </c>
      <c r="G68" s="34"/>
      <c r="H68" s="46"/>
      <c r="I68" s="15"/>
      <c r="J68" s="17" t="str">
        <f>IF(H68&gt;0,(H68*VLOOKUP(Lookups!$K$11,Lookups!$M$10:$P$43,4,0)/VLOOKUP(I68,Lookups!$M$10:$P$43,4,0)),"")</f>
        <v/>
      </c>
      <c r="K68" s="189">
        <v>88</v>
      </c>
      <c r="L68" s="15" t="s">
        <v>260</v>
      </c>
      <c r="M68" s="17">
        <f>IF(K68&gt;0,(K68*VLOOKUP(Lookups!$K$11,Lookups!$M$10:$P$43,4,0)/VLOOKUP(L68,Lookups!$M$10:$P$43,4,0)),"")</f>
        <v>98.166140828170938</v>
      </c>
      <c r="N68" s="46"/>
      <c r="O68" s="15"/>
      <c r="P68" s="17" t="str">
        <f>IF(N68&gt;0,(N68*VLOOKUP(Lookups!$K$11,Lookups!$M$10:$P$43,4,0)/VLOOKUP(O68,Lookups!$M$10:$P$43,4,0)),"")</f>
        <v/>
      </c>
      <c r="Q68" s="235" t="s">
        <v>2366</v>
      </c>
      <c r="R68" s="15" t="s">
        <v>154</v>
      </c>
      <c r="S68" s="107" t="s">
        <v>2134</v>
      </c>
      <c r="T68" s="15" t="s">
        <v>923</v>
      </c>
      <c r="U68" s="90" t="s">
        <v>2282</v>
      </c>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33"/>
      <c r="AS68" s="233"/>
      <c r="AT68" s="233"/>
      <c r="AU68" s="233"/>
      <c r="AV68" s="233"/>
      <c r="AW68" s="233"/>
      <c r="AX68" s="233"/>
      <c r="AY68" s="233"/>
      <c r="AZ68" s="233"/>
      <c r="BA68" s="233"/>
      <c r="BB68" s="233"/>
      <c r="BC68" s="233"/>
      <c r="BD68" s="233"/>
      <c r="BE68" s="233"/>
      <c r="BF68" s="233"/>
      <c r="BG68" s="233"/>
      <c r="BH68" s="233"/>
      <c r="BI68" s="233"/>
      <c r="BJ68" s="233"/>
      <c r="BK68" s="233"/>
      <c r="BL68" s="233"/>
      <c r="BM68" s="233"/>
      <c r="BN68" s="233"/>
      <c r="BO68" s="233"/>
      <c r="BP68" s="233"/>
      <c r="BQ68" s="233"/>
      <c r="BR68" s="233"/>
      <c r="BS68" s="233"/>
      <c r="BT68" s="233"/>
      <c r="BU68" s="233"/>
      <c r="BV68" s="233"/>
      <c r="BW68" s="233"/>
      <c r="BX68" s="233"/>
      <c r="BY68" s="233"/>
      <c r="BZ68" s="233"/>
      <c r="CA68" s="233"/>
      <c r="CB68" s="233"/>
      <c r="CC68" s="233"/>
      <c r="CD68" s="233"/>
      <c r="CE68" s="233"/>
      <c r="CF68" s="233"/>
      <c r="CG68" s="233"/>
      <c r="CH68" s="233"/>
      <c r="CI68" s="233"/>
      <c r="CJ68" s="233"/>
      <c r="CK68" s="233"/>
      <c r="CL68" s="233"/>
      <c r="CM68" s="233"/>
      <c r="CN68" s="233"/>
      <c r="CO68" s="233"/>
      <c r="CP68" s="233"/>
      <c r="CQ68" s="233"/>
      <c r="CR68" s="233"/>
      <c r="CS68" s="233"/>
      <c r="CT68" s="233"/>
      <c r="CU68" s="233"/>
      <c r="CV68" s="233"/>
      <c r="CW68" s="233"/>
      <c r="CX68" s="233"/>
      <c r="CY68" s="233"/>
      <c r="CZ68" s="233"/>
      <c r="DA68" s="233"/>
      <c r="DB68" s="233"/>
      <c r="DC68" s="233"/>
      <c r="DD68" s="233"/>
      <c r="DE68" s="233"/>
      <c r="DF68" s="233"/>
      <c r="DG68" s="233"/>
      <c r="DH68" s="233"/>
      <c r="DI68" s="233"/>
      <c r="DJ68" s="233"/>
      <c r="DK68" s="233"/>
      <c r="DL68" s="233"/>
      <c r="DM68" s="233"/>
      <c r="DN68" s="233"/>
      <c r="DO68" s="233"/>
      <c r="DP68" s="233"/>
      <c r="DQ68" s="233"/>
      <c r="DR68" s="233"/>
      <c r="DS68" s="233"/>
      <c r="DT68" s="233"/>
      <c r="DU68" s="233"/>
      <c r="DV68" s="233"/>
      <c r="DW68" s="233"/>
      <c r="DX68" s="233"/>
      <c r="DY68" s="233"/>
      <c r="DZ68" s="233"/>
      <c r="EA68" s="233"/>
      <c r="EB68" s="233"/>
      <c r="EC68" s="233"/>
      <c r="ED68" s="233"/>
      <c r="EE68" s="233"/>
      <c r="EF68" s="233"/>
      <c r="EG68" s="233"/>
      <c r="EH68" s="233"/>
      <c r="EI68" s="233"/>
      <c r="EJ68" s="233"/>
      <c r="EK68" s="233"/>
      <c r="EL68" s="233"/>
      <c r="EM68" s="233"/>
      <c r="EN68" s="233"/>
      <c r="EO68" s="233"/>
      <c r="EP68" s="233"/>
      <c r="EQ68" s="233"/>
      <c r="ER68" s="233"/>
      <c r="ES68" s="233"/>
      <c r="ET68" s="233"/>
      <c r="EU68" s="233"/>
      <c r="EV68" s="233"/>
      <c r="EW68" s="233"/>
      <c r="EX68" s="233"/>
      <c r="EY68" s="233"/>
      <c r="EZ68" s="233"/>
      <c r="FA68" s="233"/>
      <c r="FB68" s="233"/>
      <c r="FC68" s="233"/>
      <c r="FD68" s="233"/>
      <c r="FE68" s="233"/>
      <c r="FF68" s="233"/>
      <c r="FG68" s="233"/>
      <c r="FH68" s="233"/>
      <c r="FI68" s="233"/>
      <c r="FJ68" s="233"/>
      <c r="FK68" s="233"/>
      <c r="FL68" s="233"/>
      <c r="FM68" s="233"/>
      <c r="FN68" s="233"/>
      <c r="FO68" s="233"/>
      <c r="FP68" s="233"/>
      <c r="FQ68" s="233"/>
      <c r="FR68" s="233"/>
      <c r="FS68" s="233"/>
      <c r="FT68" s="233"/>
      <c r="FU68" s="233"/>
      <c r="FV68" s="233"/>
      <c r="FW68" s="233"/>
      <c r="FX68" s="233"/>
      <c r="FY68" s="233"/>
      <c r="FZ68" s="233"/>
      <c r="GA68" s="233"/>
      <c r="GB68" s="233"/>
      <c r="GC68" s="233"/>
      <c r="GD68" s="233"/>
      <c r="GE68" s="233"/>
      <c r="GF68" s="233"/>
      <c r="GG68" s="233"/>
      <c r="GH68" s="233"/>
      <c r="GI68" s="233"/>
      <c r="GJ68" s="233"/>
      <c r="GK68" s="233"/>
      <c r="GL68" s="233"/>
      <c r="GM68" s="233"/>
      <c r="GN68" s="233"/>
      <c r="GO68" s="233"/>
      <c r="GP68" s="233"/>
      <c r="GQ68" s="233"/>
      <c r="GR68" s="233"/>
      <c r="GS68" s="233"/>
      <c r="GT68" s="233"/>
      <c r="GU68" s="233"/>
      <c r="GV68" s="233"/>
      <c r="GW68" s="233"/>
      <c r="GX68" s="233"/>
      <c r="GY68" s="233"/>
      <c r="GZ68" s="233"/>
      <c r="HA68" s="233"/>
      <c r="HB68" s="233"/>
      <c r="HC68" s="233"/>
      <c r="HD68" s="233"/>
      <c r="HE68" s="233"/>
      <c r="HF68" s="233"/>
      <c r="HG68" s="233"/>
      <c r="HH68" s="233"/>
      <c r="HI68" s="233"/>
      <c r="HJ68" s="233"/>
      <c r="HK68" s="233"/>
      <c r="HL68" s="233"/>
      <c r="HM68" s="233"/>
      <c r="HN68" s="233"/>
      <c r="HO68" s="233"/>
      <c r="HP68" s="233"/>
      <c r="HQ68" s="233"/>
      <c r="HR68" s="233"/>
      <c r="HS68" s="233"/>
      <c r="HT68" s="233"/>
      <c r="HU68" s="233"/>
      <c r="HV68" s="233"/>
      <c r="HW68" s="233"/>
      <c r="HX68" s="233"/>
      <c r="HY68" s="233"/>
      <c r="HZ68" s="233"/>
      <c r="IA68" s="233"/>
      <c r="IB68" s="233"/>
      <c r="IC68" s="233"/>
      <c r="ID68" s="233"/>
      <c r="IE68" s="233"/>
      <c r="IF68" s="233"/>
      <c r="IG68" s="233"/>
      <c r="IH68" s="233"/>
      <c r="II68" s="233"/>
      <c r="IJ68" s="233"/>
      <c r="IK68" s="233"/>
      <c r="IL68" s="233"/>
      <c r="IM68" s="233"/>
      <c r="IN68" s="233"/>
      <c r="IO68" s="233"/>
      <c r="IP68" s="233"/>
      <c r="IQ68" s="233"/>
      <c r="IR68" s="233"/>
      <c r="IS68" s="233"/>
      <c r="IT68" s="233"/>
      <c r="IU68" s="233"/>
      <c r="IV68" s="233"/>
      <c r="IW68" s="233"/>
      <c r="IX68" s="233"/>
      <c r="IY68" s="233"/>
      <c r="IZ68" s="233"/>
      <c r="JA68" s="233"/>
      <c r="JB68" s="233"/>
      <c r="JC68" s="233"/>
      <c r="JD68" s="233"/>
      <c r="JE68" s="233"/>
      <c r="JF68" s="233"/>
      <c r="JG68" s="233"/>
      <c r="JH68" s="233"/>
      <c r="JI68" s="233"/>
      <c r="JJ68" s="233"/>
      <c r="JK68" s="233"/>
      <c r="JL68" s="233"/>
      <c r="JM68" s="233"/>
      <c r="JN68" s="233"/>
      <c r="JO68" s="233"/>
      <c r="JP68" s="233"/>
      <c r="JQ68" s="233"/>
      <c r="JR68" s="233"/>
      <c r="JS68" s="233"/>
      <c r="JT68" s="233"/>
      <c r="JU68" s="233"/>
      <c r="JV68" s="233"/>
      <c r="JW68" s="233"/>
      <c r="JX68" s="233"/>
      <c r="JY68" s="233"/>
      <c r="JZ68" s="233"/>
      <c r="KA68" s="233"/>
      <c r="KB68" s="233"/>
      <c r="KC68" s="233"/>
      <c r="KD68" s="233"/>
      <c r="KE68" s="233"/>
      <c r="KF68" s="233"/>
      <c r="KG68" s="233"/>
      <c r="KH68" s="233"/>
      <c r="KI68" s="233"/>
      <c r="KJ68" s="233"/>
      <c r="KK68" s="233"/>
      <c r="KL68" s="233"/>
      <c r="KM68" s="233"/>
      <c r="KN68" s="233"/>
      <c r="KO68" s="233"/>
      <c r="KP68" s="233"/>
      <c r="KQ68" s="233"/>
      <c r="KR68" s="233"/>
      <c r="KS68" s="233"/>
      <c r="KT68" s="233"/>
      <c r="KU68" s="233"/>
      <c r="KV68" s="233"/>
      <c r="KW68" s="233"/>
      <c r="KX68" s="233"/>
      <c r="KY68" s="233"/>
      <c r="KZ68" s="233"/>
      <c r="LA68" s="233"/>
      <c r="LB68" s="233"/>
      <c r="LC68" s="233"/>
      <c r="LD68" s="233"/>
      <c r="LE68" s="233"/>
      <c r="LF68" s="233"/>
      <c r="LG68" s="233"/>
      <c r="LH68" s="233"/>
      <c r="LI68" s="233"/>
      <c r="LJ68" s="233"/>
      <c r="LK68" s="233"/>
      <c r="LL68" s="233"/>
      <c r="LM68" s="233"/>
      <c r="LN68" s="233"/>
      <c r="LO68" s="233"/>
      <c r="LP68" s="233"/>
      <c r="LQ68" s="233"/>
      <c r="LR68" s="233"/>
      <c r="LS68" s="233"/>
      <c r="LT68" s="233"/>
      <c r="LU68" s="233"/>
      <c r="LV68" s="233"/>
      <c r="LW68" s="233"/>
      <c r="LX68" s="233"/>
      <c r="LY68" s="233"/>
      <c r="LZ68" s="233"/>
      <c r="MA68" s="233"/>
    </row>
    <row r="69" spans="1:339" s="47" customFormat="1" ht="60" hidden="1" customHeight="1" outlineLevel="1" x14ac:dyDescent="0.25">
      <c r="A69" s="50" t="s">
        <v>1304</v>
      </c>
      <c r="B69" s="50" t="s">
        <v>1446</v>
      </c>
      <c r="C69" s="50" t="s">
        <v>3132</v>
      </c>
      <c r="D69" s="50" t="s">
        <v>1449</v>
      </c>
      <c r="E69" s="160" t="s">
        <v>1410</v>
      </c>
      <c r="F69" s="90" t="s">
        <v>243</v>
      </c>
      <c r="G69" s="34"/>
      <c r="H69" s="46"/>
      <c r="I69" s="15"/>
      <c r="J69" s="17" t="str">
        <f>IF(H69&gt;0,(H69*VLOOKUP(Lookups!$K$11,Lookups!$M$10:$P$43,4,0)/VLOOKUP(I69,Lookups!$M$10:$P$43,4,0)),"")</f>
        <v/>
      </c>
      <c r="K69" s="189">
        <v>15</v>
      </c>
      <c r="L69" s="15" t="s">
        <v>260</v>
      </c>
      <c r="M69" s="17">
        <f>IF(K69&gt;0,(K69*VLOOKUP(Lookups!$K$11,Lookups!$M$10:$P$43,4,0)/VLOOKUP(L69,Lookups!$M$10:$P$43,4,0)),"")</f>
        <v>16.732864913892772</v>
      </c>
      <c r="N69" s="46"/>
      <c r="O69" s="15"/>
      <c r="P69" s="17" t="str">
        <f>IF(N69&gt;0,(N69*VLOOKUP(Lookups!$K$11,Lookups!$M$10:$P$43,4,0)/VLOOKUP(O69,Lookups!$M$10:$P$43,4,0)),"")</f>
        <v/>
      </c>
      <c r="Q69" s="235" t="s">
        <v>2366</v>
      </c>
      <c r="R69" s="15" t="s">
        <v>154</v>
      </c>
      <c r="S69" s="107" t="s">
        <v>1454</v>
      </c>
      <c r="T69" s="15" t="s">
        <v>923</v>
      </c>
      <c r="U69" s="90" t="s">
        <v>2282</v>
      </c>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33"/>
      <c r="AS69" s="233"/>
      <c r="AT69" s="233"/>
      <c r="AU69" s="233"/>
      <c r="AV69" s="233"/>
      <c r="AW69" s="233"/>
      <c r="AX69" s="233"/>
      <c r="AY69" s="233"/>
      <c r="AZ69" s="233"/>
      <c r="BA69" s="233"/>
      <c r="BB69" s="233"/>
      <c r="BC69" s="233"/>
      <c r="BD69" s="233"/>
      <c r="BE69" s="233"/>
      <c r="BF69" s="233"/>
      <c r="BG69" s="233"/>
      <c r="BH69" s="233"/>
      <c r="BI69" s="233"/>
      <c r="BJ69" s="233"/>
      <c r="BK69" s="233"/>
      <c r="BL69" s="233"/>
      <c r="BM69" s="233"/>
      <c r="BN69" s="233"/>
      <c r="BO69" s="233"/>
      <c r="BP69" s="233"/>
      <c r="BQ69" s="233"/>
      <c r="BR69" s="233"/>
      <c r="BS69" s="233"/>
      <c r="BT69" s="233"/>
      <c r="BU69" s="233"/>
      <c r="BV69" s="233"/>
      <c r="BW69" s="233"/>
      <c r="BX69" s="233"/>
      <c r="BY69" s="233"/>
      <c r="BZ69" s="233"/>
      <c r="CA69" s="233"/>
      <c r="CB69" s="233"/>
      <c r="CC69" s="233"/>
      <c r="CD69" s="233"/>
      <c r="CE69" s="233"/>
      <c r="CF69" s="233"/>
      <c r="CG69" s="233"/>
      <c r="CH69" s="233"/>
      <c r="CI69" s="233"/>
      <c r="CJ69" s="233"/>
      <c r="CK69" s="233"/>
      <c r="CL69" s="233"/>
      <c r="CM69" s="233"/>
      <c r="CN69" s="233"/>
      <c r="CO69" s="233"/>
      <c r="CP69" s="233"/>
      <c r="CQ69" s="233"/>
      <c r="CR69" s="233"/>
      <c r="CS69" s="233"/>
      <c r="CT69" s="233"/>
      <c r="CU69" s="233"/>
      <c r="CV69" s="233"/>
      <c r="CW69" s="233"/>
      <c r="CX69" s="233"/>
      <c r="CY69" s="233"/>
      <c r="CZ69" s="233"/>
      <c r="DA69" s="233"/>
      <c r="DB69" s="233"/>
      <c r="DC69" s="233"/>
      <c r="DD69" s="233"/>
      <c r="DE69" s="233"/>
      <c r="DF69" s="233"/>
      <c r="DG69" s="233"/>
      <c r="DH69" s="233"/>
      <c r="DI69" s="233"/>
      <c r="DJ69" s="233"/>
      <c r="DK69" s="233"/>
      <c r="DL69" s="233"/>
      <c r="DM69" s="233"/>
      <c r="DN69" s="233"/>
      <c r="DO69" s="233"/>
      <c r="DP69" s="233"/>
      <c r="DQ69" s="233"/>
      <c r="DR69" s="233"/>
      <c r="DS69" s="233"/>
      <c r="DT69" s="233"/>
      <c r="DU69" s="233"/>
      <c r="DV69" s="233"/>
      <c r="DW69" s="233"/>
      <c r="DX69" s="233"/>
      <c r="DY69" s="233"/>
      <c r="DZ69" s="233"/>
      <c r="EA69" s="233"/>
      <c r="EB69" s="233"/>
      <c r="EC69" s="233"/>
      <c r="ED69" s="233"/>
      <c r="EE69" s="233"/>
      <c r="EF69" s="233"/>
      <c r="EG69" s="233"/>
      <c r="EH69" s="233"/>
      <c r="EI69" s="233"/>
      <c r="EJ69" s="233"/>
      <c r="EK69" s="233"/>
      <c r="EL69" s="233"/>
      <c r="EM69" s="233"/>
      <c r="EN69" s="233"/>
      <c r="EO69" s="233"/>
      <c r="EP69" s="233"/>
      <c r="EQ69" s="233"/>
      <c r="ER69" s="233"/>
      <c r="ES69" s="233"/>
      <c r="ET69" s="233"/>
      <c r="EU69" s="233"/>
      <c r="EV69" s="233"/>
      <c r="EW69" s="233"/>
      <c r="EX69" s="233"/>
      <c r="EY69" s="233"/>
      <c r="EZ69" s="233"/>
      <c r="FA69" s="233"/>
      <c r="FB69" s="233"/>
      <c r="FC69" s="233"/>
      <c r="FD69" s="233"/>
      <c r="FE69" s="233"/>
      <c r="FF69" s="233"/>
      <c r="FG69" s="233"/>
      <c r="FH69" s="233"/>
      <c r="FI69" s="233"/>
      <c r="FJ69" s="233"/>
      <c r="FK69" s="233"/>
      <c r="FL69" s="233"/>
      <c r="FM69" s="233"/>
      <c r="FN69" s="233"/>
      <c r="FO69" s="233"/>
      <c r="FP69" s="233"/>
      <c r="FQ69" s="233"/>
      <c r="FR69" s="233"/>
      <c r="FS69" s="233"/>
      <c r="FT69" s="233"/>
      <c r="FU69" s="233"/>
      <c r="FV69" s="233"/>
      <c r="FW69" s="233"/>
      <c r="FX69" s="233"/>
      <c r="FY69" s="233"/>
      <c r="FZ69" s="233"/>
      <c r="GA69" s="233"/>
      <c r="GB69" s="233"/>
      <c r="GC69" s="233"/>
      <c r="GD69" s="233"/>
      <c r="GE69" s="233"/>
      <c r="GF69" s="233"/>
      <c r="GG69" s="233"/>
      <c r="GH69" s="233"/>
      <c r="GI69" s="233"/>
      <c r="GJ69" s="233"/>
      <c r="GK69" s="233"/>
      <c r="GL69" s="233"/>
      <c r="GM69" s="233"/>
      <c r="GN69" s="233"/>
      <c r="GO69" s="233"/>
      <c r="GP69" s="233"/>
      <c r="GQ69" s="233"/>
      <c r="GR69" s="233"/>
      <c r="GS69" s="233"/>
      <c r="GT69" s="233"/>
      <c r="GU69" s="233"/>
      <c r="GV69" s="233"/>
      <c r="GW69" s="233"/>
      <c r="GX69" s="233"/>
      <c r="GY69" s="233"/>
      <c r="GZ69" s="233"/>
      <c r="HA69" s="233"/>
      <c r="HB69" s="233"/>
      <c r="HC69" s="233"/>
      <c r="HD69" s="233"/>
      <c r="HE69" s="233"/>
      <c r="HF69" s="233"/>
      <c r="HG69" s="233"/>
      <c r="HH69" s="233"/>
      <c r="HI69" s="233"/>
      <c r="HJ69" s="233"/>
      <c r="HK69" s="233"/>
      <c r="HL69" s="233"/>
      <c r="HM69" s="233"/>
      <c r="HN69" s="233"/>
      <c r="HO69" s="233"/>
      <c r="HP69" s="233"/>
      <c r="HQ69" s="233"/>
      <c r="HR69" s="233"/>
      <c r="HS69" s="233"/>
      <c r="HT69" s="233"/>
      <c r="HU69" s="233"/>
      <c r="HV69" s="233"/>
      <c r="HW69" s="233"/>
      <c r="HX69" s="233"/>
      <c r="HY69" s="233"/>
      <c r="HZ69" s="233"/>
      <c r="IA69" s="233"/>
      <c r="IB69" s="233"/>
      <c r="IC69" s="233"/>
      <c r="ID69" s="233"/>
      <c r="IE69" s="233"/>
      <c r="IF69" s="233"/>
      <c r="IG69" s="233"/>
      <c r="IH69" s="233"/>
      <c r="II69" s="233"/>
      <c r="IJ69" s="233"/>
      <c r="IK69" s="233"/>
      <c r="IL69" s="233"/>
      <c r="IM69" s="233"/>
      <c r="IN69" s="233"/>
      <c r="IO69" s="233"/>
      <c r="IP69" s="233"/>
      <c r="IQ69" s="233"/>
      <c r="IR69" s="233"/>
      <c r="IS69" s="233"/>
      <c r="IT69" s="233"/>
      <c r="IU69" s="233"/>
      <c r="IV69" s="233"/>
      <c r="IW69" s="233"/>
      <c r="IX69" s="233"/>
      <c r="IY69" s="233"/>
      <c r="IZ69" s="233"/>
      <c r="JA69" s="233"/>
      <c r="JB69" s="233"/>
      <c r="JC69" s="233"/>
      <c r="JD69" s="233"/>
      <c r="JE69" s="233"/>
      <c r="JF69" s="233"/>
      <c r="JG69" s="233"/>
      <c r="JH69" s="233"/>
      <c r="JI69" s="233"/>
      <c r="JJ69" s="233"/>
      <c r="JK69" s="233"/>
      <c r="JL69" s="233"/>
      <c r="JM69" s="233"/>
      <c r="JN69" s="233"/>
      <c r="JO69" s="233"/>
      <c r="JP69" s="233"/>
      <c r="JQ69" s="233"/>
      <c r="JR69" s="233"/>
      <c r="JS69" s="233"/>
      <c r="JT69" s="233"/>
      <c r="JU69" s="233"/>
      <c r="JV69" s="233"/>
      <c r="JW69" s="233"/>
      <c r="JX69" s="233"/>
      <c r="JY69" s="233"/>
      <c r="JZ69" s="233"/>
      <c r="KA69" s="233"/>
      <c r="KB69" s="233"/>
      <c r="KC69" s="233"/>
      <c r="KD69" s="233"/>
      <c r="KE69" s="233"/>
      <c r="KF69" s="233"/>
      <c r="KG69" s="233"/>
      <c r="KH69" s="233"/>
      <c r="KI69" s="233"/>
      <c r="KJ69" s="233"/>
      <c r="KK69" s="233"/>
      <c r="KL69" s="233"/>
      <c r="KM69" s="233"/>
      <c r="KN69" s="233"/>
      <c r="KO69" s="233"/>
      <c r="KP69" s="233"/>
      <c r="KQ69" s="233"/>
      <c r="KR69" s="233"/>
      <c r="KS69" s="233"/>
      <c r="KT69" s="233"/>
      <c r="KU69" s="233"/>
      <c r="KV69" s="233"/>
      <c r="KW69" s="233"/>
      <c r="KX69" s="233"/>
      <c r="KY69" s="233"/>
      <c r="KZ69" s="233"/>
      <c r="LA69" s="233"/>
      <c r="LB69" s="233"/>
      <c r="LC69" s="233"/>
      <c r="LD69" s="233"/>
      <c r="LE69" s="233"/>
      <c r="LF69" s="233"/>
      <c r="LG69" s="233"/>
      <c r="LH69" s="233"/>
      <c r="LI69" s="233"/>
      <c r="LJ69" s="233"/>
      <c r="LK69" s="233"/>
      <c r="LL69" s="233"/>
      <c r="LM69" s="233"/>
      <c r="LN69" s="233"/>
      <c r="LO69" s="233"/>
      <c r="LP69" s="233"/>
      <c r="LQ69" s="233"/>
      <c r="LR69" s="233"/>
      <c r="LS69" s="233"/>
      <c r="LT69" s="233"/>
      <c r="LU69" s="233"/>
      <c r="LV69" s="233"/>
      <c r="LW69" s="233"/>
      <c r="LX69" s="233"/>
      <c r="LY69" s="233"/>
      <c r="LZ69" s="233"/>
      <c r="MA69" s="233"/>
    </row>
    <row r="70" spans="1:339" s="47" customFormat="1" ht="60" hidden="1" customHeight="1" outlineLevel="1" x14ac:dyDescent="0.25">
      <c r="A70" s="50" t="s">
        <v>1304</v>
      </c>
      <c r="B70" s="50" t="s">
        <v>1446</v>
      </c>
      <c r="C70" s="50" t="s">
        <v>3133</v>
      </c>
      <c r="D70" s="50" t="s">
        <v>1450</v>
      </c>
      <c r="E70" s="160" t="s">
        <v>1410</v>
      </c>
      <c r="F70" s="90" t="s">
        <v>243</v>
      </c>
      <c r="G70" s="34"/>
      <c r="H70" s="46"/>
      <c r="I70" s="15"/>
      <c r="J70" s="17" t="str">
        <f>IF(H70&gt;0,(H70*VLOOKUP(Lookups!$K$11,Lookups!$M$10:$P$43,4,0)/VLOOKUP(I70,Lookups!$M$10:$P$43,4,0)),"")</f>
        <v/>
      </c>
      <c r="K70" s="189">
        <v>36</v>
      </c>
      <c r="L70" s="15" t="s">
        <v>260</v>
      </c>
      <c r="M70" s="17">
        <f>IF(K70&gt;0,(K70*VLOOKUP(Lookups!$K$11,Lookups!$M$10:$P$43,4,0)/VLOOKUP(L70,Lookups!$M$10:$P$43,4,0)),"")</f>
        <v>40.158875793342652</v>
      </c>
      <c r="N70" s="46"/>
      <c r="O70" s="15"/>
      <c r="P70" s="17" t="str">
        <f>IF(N70&gt;0,(N70*VLOOKUP(Lookups!$K$11,Lookups!$M$10:$P$43,4,0)/VLOOKUP(O70,Lookups!$M$10:$P$43,4,0)),"")</f>
        <v/>
      </c>
      <c r="Q70" s="235" t="s">
        <v>2366</v>
      </c>
      <c r="R70" s="15" t="s">
        <v>154</v>
      </c>
      <c r="S70" s="107" t="s">
        <v>1455</v>
      </c>
      <c r="T70" s="15" t="s">
        <v>923</v>
      </c>
      <c r="U70" s="90" t="s">
        <v>2282</v>
      </c>
      <c r="V70" s="233"/>
      <c r="W70" s="233"/>
      <c r="X70" s="233"/>
      <c r="Y70" s="233"/>
      <c r="Z70" s="233"/>
      <c r="AA70" s="233"/>
      <c r="AB70" s="233"/>
      <c r="AC70" s="233"/>
      <c r="AD70" s="233"/>
      <c r="AE70" s="233"/>
      <c r="AF70" s="233"/>
      <c r="AG70" s="233"/>
      <c r="AH70" s="233"/>
      <c r="AI70" s="233"/>
      <c r="AJ70" s="233"/>
      <c r="AK70" s="233"/>
      <c r="AL70" s="233"/>
      <c r="AM70" s="233"/>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3"/>
      <c r="BR70" s="233"/>
      <c r="BS70" s="233"/>
      <c r="BT70" s="233"/>
      <c r="BU70" s="233"/>
      <c r="BV70" s="233"/>
      <c r="BW70" s="233"/>
      <c r="BX70" s="233"/>
      <c r="BY70" s="233"/>
      <c r="BZ70" s="233"/>
      <c r="CA70" s="233"/>
      <c r="CB70" s="233"/>
      <c r="CC70" s="233"/>
      <c r="CD70" s="233"/>
      <c r="CE70" s="233"/>
      <c r="CF70" s="233"/>
      <c r="CG70" s="233"/>
      <c r="CH70" s="233"/>
      <c r="CI70" s="233"/>
      <c r="CJ70" s="233"/>
      <c r="CK70" s="233"/>
      <c r="CL70" s="233"/>
      <c r="CM70" s="233"/>
      <c r="CN70" s="233"/>
      <c r="CO70" s="233"/>
      <c r="CP70" s="233"/>
      <c r="CQ70" s="233"/>
      <c r="CR70" s="233"/>
      <c r="CS70" s="233"/>
      <c r="CT70" s="233"/>
      <c r="CU70" s="233"/>
      <c r="CV70" s="233"/>
      <c r="CW70" s="233"/>
      <c r="CX70" s="233"/>
      <c r="CY70" s="233"/>
      <c r="CZ70" s="233"/>
      <c r="DA70" s="233"/>
      <c r="DB70" s="233"/>
      <c r="DC70" s="233"/>
      <c r="DD70" s="233"/>
      <c r="DE70" s="233"/>
      <c r="DF70" s="233"/>
      <c r="DG70" s="233"/>
      <c r="DH70" s="233"/>
      <c r="DI70" s="233"/>
      <c r="DJ70" s="233"/>
      <c r="DK70" s="233"/>
      <c r="DL70" s="233"/>
      <c r="DM70" s="233"/>
      <c r="DN70" s="233"/>
      <c r="DO70" s="233"/>
      <c r="DP70" s="233"/>
      <c r="DQ70" s="233"/>
      <c r="DR70" s="233"/>
      <c r="DS70" s="233"/>
      <c r="DT70" s="233"/>
      <c r="DU70" s="233"/>
      <c r="DV70" s="233"/>
      <c r="DW70" s="233"/>
      <c r="DX70" s="233"/>
      <c r="DY70" s="233"/>
      <c r="DZ70" s="233"/>
      <c r="EA70" s="233"/>
      <c r="EB70" s="233"/>
      <c r="EC70" s="233"/>
      <c r="ED70" s="233"/>
      <c r="EE70" s="233"/>
      <c r="EF70" s="233"/>
      <c r="EG70" s="233"/>
      <c r="EH70" s="233"/>
      <c r="EI70" s="233"/>
      <c r="EJ70" s="233"/>
      <c r="EK70" s="233"/>
      <c r="EL70" s="233"/>
      <c r="EM70" s="233"/>
      <c r="EN70" s="233"/>
      <c r="EO70" s="233"/>
      <c r="EP70" s="233"/>
      <c r="EQ70" s="233"/>
      <c r="ER70" s="233"/>
      <c r="ES70" s="233"/>
      <c r="ET70" s="233"/>
      <c r="EU70" s="233"/>
      <c r="EV70" s="233"/>
      <c r="EW70" s="233"/>
      <c r="EX70" s="233"/>
      <c r="EY70" s="233"/>
      <c r="EZ70" s="233"/>
      <c r="FA70" s="233"/>
      <c r="FB70" s="233"/>
      <c r="FC70" s="233"/>
      <c r="FD70" s="233"/>
      <c r="FE70" s="233"/>
      <c r="FF70" s="233"/>
      <c r="FG70" s="233"/>
      <c r="FH70" s="233"/>
      <c r="FI70" s="233"/>
      <c r="FJ70" s="233"/>
      <c r="FK70" s="233"/>
      <c r="FL70" s="233"/>
      <c r="FM70" s="233"/>
      <c r="FN70" s="233"/>
      <c r="FO70" s="233"/>
      <c r="FP70" s="233"/>
      <c r="FQ70" s="233"/>
      <c r="FR70" s="233"/>
      <c r="FS70" s="233"/>
      <c r="FT70" s="233"/>
      <c r="FU70" s="233"/>
      <c r="FV70" s="233"/>
      <c r="FW70" s="233"/>
      <c r="FX70" s="233"/>
      <c r="FY70" s="233"/>
      <c r="FZ70" s="233"/>
      <c r="GA70" s="233"/>
      <c r="GB70" s="233"/>
      <c r="GC70" s="233"/>
      <c r="GD70" s="233"/>
      <c r="GE70" s="233"/>
      <c r="GF70" s="233"/>
      <c r="GG70" s="233"/>
      <c r="GH70" s="233"/>
      <c r="GI70" s="233"/>
      <c r="GJ70" s="233"/>
      <c r="GK70" s="233"/>
      <c r="GL70" s="233"/>
      <c r="GM70" s="233"/>
      <c r="GN70" s="233"/>
      <c r="GO70" s="233"/>
      <c r="GP70" s="233"/>
      <c r="GQ70" s="233"/>
      <c r="GR70" s="233"/>
      <c r="GS70" s="233"/>
      <c r="GT70" s="233"/>
      <c r="GU70" s="233"/>
      <c r="GV70" s="233"/>
      <c r="GW70" s="233"/>
      <c r="GX70" s="233"/>
      <c r="GY70" s="233"/>
      <c r="GZ70" s="233"/>
      <c r="HA70" s="233"/>
      <c r="HB70" s="233"/>
      <c r="HC70" s="233"/>
      <c r="HD70" s="233"/>
      <c r="HE70" s="233"/>
      <c r="HF70" s="233"/>
      <c r="HG70" s="233"/>
      <c r="HH70" s="233"/>
      <c r="HI70" s="233"/>
      <c r="HJ70" s="233"/>
      <c r="HK70" s="233"/>
      <c r="HL70" s="233"/>
      <c r="HM70" s="233"/>
      <c r="HN70" s="233"/>
      <c r="HO70" s="233"/>
      <c r="HP70" s="233"/>
      <c r="HQ70" s="233"/>
      <c r="HR70" s="233"/>
      <c r="HS70" s="233"/>
      <c r="HT70" s="233"/>
      <c r="HU70" s="233"/>
      <c r="HV70" s="233"/>
      <c r="HW70" s="233"/>
      <c r="HX70" s="233"/>
      <c r="HY70" s="233"/>
      <c r="HZ70" s="233"/>
      <c r="IA70" s="233"/>
      <c r="IB70" s="233"/>
      <c r="IC70" s="233"/>
      <c r="ID70" s="233"/>
      <c r="IE70" s="233"/>
      <c r="IF70" s="233"/>
      <c r="IG70" s="233"/>
      <c r="IH70" s="233"/>
      <c r="II70" s="233"/>
      <c r="IJ70" s="233"/>
      <c r="IK70" s="233"/>
      <c r="IL70" s="233"/>
      <c r="IM70" s="233"/>
      <c r="IN70" s="233"/>
      <c r="IO70" s="233"/>
      <c r="IP70" s="233"/>
      <c r="IQ70" s="233"/>
      <c r="IR70" s="233"/>
      <c r="IS70" s="233"/>
      <c r="IT70" s="233"/>
      <c r="IU70" s="233"/>
      <c r="IV70" s="233"/>
      <c r="IW70" s="233"/>
      <c r="IX70" s="233"/>
      <c r="IY70" s="233"/>
      <c r="IZ70" s="233"/>
      <c r="JA70" s="233"/>
      <c r="JB70" s="233"/>
      <c r="JC70" s="233"/>
      <c r="JD70" s="233"/>
      <c r="JE70" s="233"/>
      <c r="JF70" s="233"/>
      <c r="JG70" s="233"/>
      <c r="JH70" s="233"/>
      <c r="JI70" s="233"/>
      <c r="JJ70" s="233"/>
      <c r="JK70" s="233"/>
      <c r="JL70" s="233"/>
      <c r="JM70" s="233"/>
      <c r="JN70" s="233"/>
      <c r="JO70" s="233"/>
      <c r="JP70" s="233"/>
      <c r="JQ70" s="233"/>
      <c r="JR70" s="233"/>
      <c r="JS70" s="233"/>
      <c r="JT70" s="233"/>
      <c r="JU70" s="233"/>
      <c r="JV70" s="233"/>
      <c r="JW70" s="233"/>
      <c r="JX70" s="233"/>
      <c r="JY70" s="233"/>
      <c r="JZ70" s="233"/>
      <c r="KA70" s="233"/>
      <c r="KB70" s="233"/>
      <c r="KC70" s="233"/>
      <c r="KD70" s="233"/>
      <c r="KE70" s="233"/>
      <c r="KF70" s="233"/>
      <c r="KG70" s="233"/>
      <c r="KH70" s="233"/>
      <c r="KI70" s="233"/>
      <c r="KJ70" s="233"/>
      <c r="KK70" s="233"/>
      <c r="KL70" s="233"/>
      <c r="KM70" s="233"/>
      <c r="KN70" s="233"/>
      <c r="KO70" s="233"/>
      <c r="KP70" s="233"/>
      <c r="KQ70" s="233"/>
      <c r="KR70" s="233"/>
      <c r="KS70" s="233"/>
      <c r="KT70" s="233"/>
      <c r="KU70" s="233"/>
      <c r="KV70" s="233"/>
      <c r="KW70" s="233"/>
      <c r="KX70" s="233"/>
      <c r="KY70" s="233"/>
      <c r="KZ70" s="233"/>
      <c r="LA70" s="233"/>
      <c r="LB70" s="233"/>
      <c r="LC70" s="233"/>
      <c r="LD70" s="233"/>
      <c r="LE70" s="233"/>
      <c r="LF70" s="233"/>
      <c r="LG70" s="233"/>
      <c r="LH70" s="233"/>
      <c r="LI70" s="233"/>
      <c r="LJ70" s="233"/>
      <c r="LK70" s="233"/>
      <c r="LL70" s="233"/>
      <c r="LM70" s="233"/>
      <c r="LN70" s="233"/>
      <c r="LO70" s="233"/>
      <c r="LP70" s="233"/>
      <c r="LQ70" s="233"/>
      <c r="LR70" s="233"/>
      <c r="LS70" s="233"/>
      <c r="LT70" s="233"/>
      <c r="LU70" s="233"/>
      <c r="LV70" s="233"/>
      <c r="LW70" s="233"/>
      <c r="LX70" s="233"/>
      <c r="LY70" s="233"/>
      <c r="LZ70" s="233"/>
      <c r="MA70" s="233"/>
    </row>
    <row r="71" spans="1:339" s="47" customFormat="1" ht="60" hidden="1" customHeight="1" outlineLevel="1" x14ac:dyDescent="0.25">
      <c r="A71" s="50" t="s">
        <v>1304</v>
      </c>
      <c r="B71" s="50" t="s">
        <v>1446</v>
      </c>
      <c r="C71" s="50" t="s">
        <v>3134</v>
      </c>
      <c r="D71" s="50" t="s">
        <v>1451</v>
      </c>
      <c r="E71" s="160" t="s">
        <v>1410</v>
      </c>
      <c r="F71" s="90" t="s">
        <v>243</v>
      </c>
      <c r="G71" s="34"/>
      <c r="H71" s="46"/>
      <c r="I71" s="15"/>
      <c r="J71" s="17" t="str">
        <f>IF(H71&gt;0,(H71*VLOOKUP(Lookups!$K$11,Lookups!$M$10:$P$43,4,0)/VLOOKUP(I71,Lookups!$M$10:$P$43,4,0)),"")</f>
        <v/>
      </c>
      <c r="K71" s="189">
        <v>53</v>
      </c>
      <c r="L71" s="15" t="s">
        <v>260</v>
      </c>
      <c r="M71" s="17">
        <f>IF(K71&gt;0,(K71*VLOOKUP(Lookups!$K$11,Lookups!$M$10:$P$43,4,0)/VLOOKUP(L71,Lookups!$M$10:$P$43,4,0)),"")</f>
        <v>59.12278936242113</v>
      </c>
      <c r="N71" s="46"/>
      <c r="O71" s="15"/>
      <c r="P71" s="17" t="str">
        <f>IF(N71&gt;0,(N71*VLOOKUP(Lookups!$K$11,Lookups!$M$10:$P$43,4,0)/VLOOKUP(O71,Lookups!$M$10:$P$43,4,0)),"")</f>
        <v/>
      </c>
      <c r="Q71" s="235" t="s">
        <v>2366</v>
      </c>
      <c r="R71" s="15" t="s">
        <v>154</v>
      </c>
      <c r="S71" s="107" t="s">
        <v>1456</v>
      </c>
      <c r="T71" s="15" t="s">
        <v>923</v>
      </c>
      <c r="U71" s="90" t="s">
        <v>2282</v>
      </c>
      <c r="V71" s="233"/>
      <c r="W71" s="233"/>
      <c r="X71" s="233"/>
      <c r="Y71" s="233"/>
      <c r="Z71" s="233"/>
      <c r="AA71" s="233"/>
      <c r="AB71" s="233"/>
      <c r="AC71" s="233"/>
      <c r="AD71" s="233"/>
      <c r="AE71" s="233"/>
      <c r="AF71" s="233"/>
      <c r="AG71" s="233"/>
      <c r="AH71" s="233"/>
      <c r="AI71" s="233"/>
      <c r="AJ71" s="233"/>
      <c r="AK71" s="233"/>
      <c r="AL71" s="233"/>
      <c r="AM71" s="233"/>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3"/>
      <c r="BR71" s="233"/>
      <c r="BS71" s="233"/>
      <c r="BT71" s="233"/>
      <c r="BU71" s="233"/>
      <c r="BV71" s="233"/>
      <c r="BW71" s="233"/>
      <c r="BX71" s="233"/>
      <c r="BY71" s="233"/>
      <c r="BZ71" s="233"/>
      <c r="CA71" s="233"/>
      <c r="CB71" s="233"/>
      <c r="CC71" s="233"/>
      <c r="CD71" s="233"/>
      <c r="CE71" s="233"/>
      <c r="CF71" s="233"/>
      <c r="CG71" s="233"/>
      <c r="CH71" s="233"/>
      <c r="CI71" s="233"/>
      <c r="CJ71" s="233"/>
      <c r="CK71" s="233"/>
      <c r="CL71" s="233"/>
      <c r="CM71" s="233"/>
      <c r="CN71" s="233"/>
      <c r="CO71" s="233"/>
      <c r="CP71" s="233"/>
      <c r="CQ71" s="233"/>
      <c r="CR71" s="233"/>
      <c r="CS71" s="233"/>
      <c r="CT71" s="233"/>
      <c r="CU71" s="233"/>
      <c r="CV71" s="233"/>
      <c r="CW71" s="233"/>
      <c r="CX71" s="233"/>
      <c r="CY71" s="233"/>
      <c r="CZ71" s="233"/>
      <c r="DA71" s="233"/>
      <c r="DB71" s="233"/>
      <c r="DC71" s="233"/>
      <c r="DD71" s="233"/>
      <c r="DE71" s="233"/>
      <c r="DF71" s="233"/>
      <c r="DG71" s="233"/>
      <c r="DH71" s="233"/>
      <c r="DI71" s="233"/>
      <c r="DJ71" s="233"/>
      <c r="DK71" s="233"/>
      <c r="DL71" s="233"/>
      <c r="DM71" s="233"/>
      <c r="DN71" s="233"/>
      <c r="DO71" s="233"/>
      <c r="DP71" s="233"/>
      <c r="DQ71" s="233"/>
      <c r="DR71" s="233"/>
      <c r="DS71" s="233"/>
      <c r="DT71" s="233"/>
      <c r="DU71" s="233"/>
      <c r="DV71" s="233"/>
      <c r="DW71" s="233"/>
      <c r="DX71" s="233"/>
      <c r="DY71" s="233"/>
      <c r="DZ71" s="233"/>
      <c r="EA71" s="233"/>
      <c r="EB71" s="233"/>
      <c r="EC71" s="233"/>
      <c r="ED71" s="233"/>
      <c r="EE71" s="233"/>
      <c r="EF71" s="233"/>
      <c r="EG71" s="233"/>
      <c r="EH71" s="233"/>
      <c r="EI71" s="233"/>
      <c r="EJ71" s="233"/>
      <c r="EK71" s="233"/>
      <c r="EL71" s="233"/>
      <c r="EM71" s="233"/>
      <c r="EN71" s="233"/>
      <c r="EO71" s="233"/>
      <c r="EP71" s="233"/>
      <c r="EQ71" s="233"/>
      <c r="ER71" s="233"/>
      <c r="ES71" s="233"/>
      <c r="ET71" s="233"/>
      <c r="EU71" s="233"/>
      <c r="EV71" s="233"/>
      <c r="EW71" s="233"/>
      <c r="EX71" s="233"/>
      <c r="EY71" s="233"/>
      <c r="EZ71" s="233"/>
      <c r="FA71" s="233"/>
      <c r="FB71" s="233"/>
      <c r="FC71" s="233"/>
      <c r="FD71" s="233"/>
      <c r="FE71" s="233"/>
      <c r="FF71" s="233"/>
      <c r="FG71" s="233"/>
      <c r="FH71" s="233"/>
      <c r="FI71" s="233"/>
      <c r="FJ71" s="233"/>
      <c r="FK71" s="233"/>
      <c r="FL71" s="233"/>
      <c r="FM71" s="233"/>
      <c r="FN71" s="233"/>
      <c r="FO71" s="233"/>
      <c r="FP71" s="233"/>
      <c r="FQ71" s="233"/>
      <c r="FR71" s="233"/>
      <c r="FS71" s="233"/>
      <c r="FT71" s="233"/>
      <c r="FU71" s="233"/>
      <c r="FV71" s="233"/>
      <c r="FW71" s="233"/>
      <c r="FX71" s="233"/>
      <c r="FY71" s="233"/>
      <c r="FZ71" s="233"/>
      <c r="GA71" s="233"/>
      <c r="GB71" s="233"/>
      <c r="GC71" s="233"/>
      <c r="GD71" s="233"/>
      <c r="GE71" s="233"/>
      <c r="GF71" s="233"/>
      <c r="GG71" s="233"/>
      <c r="GH71" s="233"/>
      <c r="GI71" s="233"/>
      <c r="GJ71" s="233"/>
      <c r="GK71" s="233"/>
      <c r="GL71" s="233"/>
      <c r="GM71" s="233"/>
      <c r="GN71" s="233"/>
      <c r="GO71" s="233"/>
      <c r="GP71" s="233"/>
      <c r="GQ71" s="233"/>
      <c r="GR71" s="233"/>
      <c r="GS71" s="233"/>
      <c r="GT71" s="233"/>
      <c r="GU71" s="233"/>
      <c r="GV71" s="233"/>
      <c r="GW71" s="233"/>
      <c r="GX71" s="233"/>
      <c r="GY71" s="233"/>
      <c r="GZ71" s="233"/>
      <c r="HA71" s="233"/>
      <c r="HB71" s="233"/>
      <c r="HC71" s="233"/>
      <c r="HD71" s="233"/>
      <c r="HE71" s="233"/>
      <c r="HF71" s="233"/>
      <c r="HG71" s="233"/>
      <c r="HH71" s="233"/>
      <c r="HI71" s="233"/>
      <c r="HJ71" s="233"/>
      <c r="HK71" s="233"/>
      <c r="HL71" s="233"/>
      <c r="HM71" s="233"/>
      <c r="HN71" s="233"/>
      <c r="HO71" s="233"/>
      <c r="HP71" s="233"/>
      <c r="HQ71" s="233"/>
      <c r="HR71" s="233"/>
      <c r="HS71" s="233"/>
      <c r="HT71" s="233"/>
      <c r="HU71" s="233"/>
      <c r="HV71" s="233"/>
      <c r="HW71" s="233"/>
      <c r="HX71" s="233"/>
      <c r="HY71" s="233"/>
      <c r="HZ71" s="233"/>
      <c r="IA71" s="233"/>
      <c r="IB71" s="233"/>
      <c r="IC71" s="233"/>
      <c r="ID71" s="233"/>
      <c r="IE71" s="233"/>
      <c r="IF71" s="233"/>
      <c r="IG71" s="233"/>
      <c r="IH71" s="233"/>
      <c r="II71" s="233"/>
      <c r="IJ71" s="233"/>
      <c r="IK71" s="233"/>
      <c r="IL71" s="233"/>
      <c r="IM71" s="233"/>
      <c r="IN71" s="233"/>
      <c r="IO71" s="233"/>
      <c r="IP71" s="233"/>
      <c r="IQ71" s="233"/>
      <c r="IR71" s="233"/>
      <c r="IS71" s="233"/>
      <c r="IT71" s="233"/>
      <c r="IU71" s="233"/>
      <c r="IV71" s="233"/>
      <c r="IW71" s="233"/>
      <c r="IX71" s="233"/>
      <c r="IY71" s="233"/>
      <c r="IZ71" s="233"/>
      <c r="JA71" s="233"/>
      <c r="JB71" s="233"/>
      <c r="JC71" s="233"/>
      <c r="JD71" s="233"/>
      <c r="JE71" s="233"/>
      <c r="JF71" s="233"/>
      <c r="JG71" s="233"/>
      <c r="JH71" s="233"/>
      <c r="JI71" s="233"/>
      <c r="JJ71" s="233"/>
      <c r="JK71" s="233"/>
      <c r="JL71" s="233"/>
      <c r="JM71" s="233"/>
      <c r="JN71" s="233"/>
      <c r="JO71" s="233"/>
      <c r="JP71" s="233"/>
      <c r="JQ71" s="233"/>
      <c r="JR71" s="233"/>
      <c r="JS71" s="233"/>
      <c r="JT71" s="233"/>
      <c r="JU71" s="233"/>
      <c r="JV71" s="233"/>
      <c r="JW71" s="233"/>
      <c r="JX71" s="233"/>
      <c r="JY71" s="233"/>
      <c r="JZ71" s="233"/>
      <c r="KA71" s="233"/>
      <c r="KB71" s="233"/>
      <c r="KC71" s="233"/>
      <c r="KD71" s="233"/>
      <c r="KE71" s="233"/>
      <c r="KF71" s="233"/>
      <c r="KG71" s="233"/>
      <c r="KH71" s="233"/>
      <c r="KI71" s="233"/>
      <c r="KJ71" s="233"/>
      <c r="KK71" s="233"/>
      <c r="KL71" s="233"/>
      <c r="KM71" s="233"/>
      <c r="KN71" s="233"/>
      <c r="KO71" s="233"/>
      <c r="KP71" s="233"/>
      <c r="KQ71" s="233"/>
      <c r="KR71" s="233"/>
      <c r="KS71" s="233"/>
      <c r="KT71" s="233"/>
      <c r="KU71" s="233"/>
      <c r="KV71" s="233"/>
      <c r="KW71" s="233"/>
      <c r="KX71" s="233"/>
      <c r="KY71" s="233"/>
      <c r="KZ71" s="233"/>
      <c r="LA71" s="233"/>
      <c r="LB71" s="233"/>
      <c r="LC71" s="233"/>
      <c r="LD71" s="233"/>
      <c r="LE71" s="233"/>
      <c r="LF71" s="233"/>
      <c r="LG71" s="233"/>
      <c r="LH71" s="233"/>
      <c r="LI71" s="233"/>
      <c r="LJ71" s="233"/>
      <c r="LK71" s="233"/>
      <c r="LL71" s="233"/>
      <c r="LM71" s="233"/>
      <c r="LN71" s="233"/>
      <c r="LO71" s="233"/>
      <c r="LP71" s="233"/>
      <c r="LQ71" s="233"/>
      <c r="LR71" s="233"/>
      <c r="LS71" s="233"/>
      <c r="LT71" s="233"/>
      <c r="LU71" s="233"/>
      <c r="LV71" s="233"/>
      <c r="LW71" s="233"/>
      <c r="LX71" s="233"/>
      <c r="LY71" s="233"/>
      <c r="LZ71" s="233"/>
      <c r="MA71" s="233"/>
    </row>
    <row r="72" spans="1:339" s="47" customFormat="1" ht="60" hidden="1" customHeight="1" outlineLevel="1" x14ac:dyDescent="0.25">
      <c r="A72" s="50" t="s">
        <v>1304</v>
      </c>
      <c r="B72" s="50" t="s">
        <v>1446</v>
      </c>
      <c r="C72" s="50" t="s">
        <v>3135</v>
      </c>
      <c r="D72" s="50" t="s">
        <v>1452</v>
      </c>
      <c r="E72" s="160" t="s">
        <v>1410</v>
      </c>
      <c r="F72" s="90" t="s">
        <v>243</v>
      </c>
      <c r="G72" s="34"/>
      <c r="H72" s="46"/>
      <c r="I72" s="15"/>
      <c r="J72" s="17" t="str">
        <f>IF(H72&gt;0,(H72*VLOOKUP(Lookups!$K$11,Lookups!$M$10:$P$43,4,0)/VLOOKUP(I72,Lookups!$M$10:$P$43,4,0)),"")</f>
        <v/>
      </c>
      <c r="K72" s="189">
        <v>23</v>
      </c>
      <c r="L72" s="15" t="s">
        <v>260</v>
      </c>
      <c r="M72" s="17">
        <f>IF(K72&gt;0,(K72*VLOOKUP(Lookups!$K$11,Lookups!$M$10:$P$43,4,0)/VLOOKUP(L72,Lookups!$M$10:$P$43,4,0)),"")</f>
        <v>25.657059534635582</v>
      </c>
      <c r="N72" s="46"/>
      <c r="O72" s="15"/>
      <c r="P72" s="17" t="str">
        <f>IF(N72&gt;0,(N72*VLOOKUP(Lookups!$K$11,Lookups!$M$10:$P$43,4,0)/VLOOKUP(O72,Lookups!$M$10:$P$43,4,0)),"")</f>
        <v/>
      </c>
      <c r="Q72" s="235" t="s">
        <v>2366</v>
      </c>
      <c r="R72" s="15" t="s">
        <v>154</v>
      </c>
      <c r="S72" s="107" t="s">
        <v>1457</v>
      </c>
      <c r="T72" s="15" t="s">
        <v>923</v>
      </c>
      <c r="U72" s="90" t="s">
        <v>2282</v>
      </c>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3"/>
      <c r="AZ72" s="233"/>
      <c r="BA72" s="233"/>
      <c r="BB72" s="233"/>
      <c r="BC72" s="233"/>
      <c r="BD72" s="233"/>
      <c r="BE72" s="233"/>
      <c r="BF72" s="233"/>
      <c r="BG72" s="233"/>
      <c r="BH72" s="233"/>
      <c r="BI72" s="233"/>
      <c r="BJ72" s="233"/>
      <c r="BK72" s="233"/>
      <c r="BL72" s="233"/>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233"/>
      <c r="CP72" s="233"/>
      <c r="CQ72" s="233"/>
      <c r="CR72" s="233"/>
      <c r="CS72" s="233"/>
      <c r="CT72" s="233"/>
      <c r="CU72" s="233"/>
      <c r="CV72" s="233"/>
      <c r="CW72" s="233"/>
      <c r="CX72" s="233"/>
      <c r="CY72" s="233"/>
      <c r="CZ72" s="233"/>
      <c r="DA72" s="233"/>
      <c r="DB72" s="233"/>
      <c r="DC72" s="233"/>
      <c r="DD72" s="233"/>
      <c r="DE72" s="233"/>
      <c r="DF72" s="233"/>
      <c r="DG72" s="233"/>
      <c r="DH72" s="233"/>
      <c r="DI72" s="233"/>
      <c r="DJ72" s="233"/>
      <c r="DK72" s="233"/>
      <c r="DL72" s="233"/>
      <c r="DM72" s="233"/>
      <c r="DN72" s="233"/>
      <c r="DO72" s="233"/>
      <c r="DP72" s="233"/>
      <c r="DQ72" s="233"/>
      <c r="DR72" s="233"/>
      <c r="DS72" s="233"/>
      <c r="DT72" s="233"/>
      <c r="DU72" s="233"/>
      <c r="DV72" s="233"/>
      <c r="DW72" s="233"/>
      <c r="DX72" s="233"/>
      <c r="DY72" s="233"/>
      <c r="DZ72" s="233"/>
      <c r="EA72" s="233"/>
      <c r="EB72" s="233"/>
      <c r="EC72" s="233"/>
      <c r="ED72" s="233"/>
      <c r="EE72" s="233"/>
      <c r="EF72" s="233"/>
      <c r="EG72" s="233"/>
      <c r="EH72" s="233"/>
      <c r="EI72" s="233"/>
      <c r="EJ72" s="233"/>
      <c r="EK72" s="233"/>
      <c r="EL72" s="233"/>
      <c r="EM72" s="233"/>
      <c r="EN72" s="233"/>
      <c r="EO72" s="233"/>
      <c r="EP72" s="233"/>
      <c r="EQ72" s="233"/>
      <c r="ER72" s="233"/>
      <c r="ES72" s="233"/>
      <c r="ET72" s="233"/>
      <c r="EU72" s="233"/>
      <c r="EV72" s="233"/>
      <c r="EW72" s="233"/>
      <c r="EX72" s="233"/>
      <c r="EY72" s="233"/>
      <c r="EZ72" s="233"/>
      <c r="FA72" s="233"/>
      <c r="FB72" s="233"/>
      <c r="FC72" s="233"/>
      <c r="FD72" s="233"/>
      <c r="FE72" s="233"/>
      <c r="FF72" s="233"/>
      <c r="FG72" s="233"/>
      <c r="FH72" s="233"/>
      <c r="FI72" s="233"/>
      <c r="FJ72" s="233"/>
      <c r="FK72" s="233"/>
      <c r="FL72" s="233"/>
      <c r="FM72" s="233"/>
      <c r="FN72" s="233"/>
      <c r="FO72" s="233"/>
      <c r="FP72" s="233"/>
      <c r="FQ72" s="233"/>
      <c r="FR72" s="233"/>
      <c r="FS72" s="233"/>
      <c r="FT72" s="233"/>
      <c r="FU72" s="233"/>
      <c r="FV72" s="233"/>
      <c r="FW72" s="233"/>
      <c r="FX72" s="233"/>
      <c r="FY72" s="233"/>
      <c r="FZ72" s="233"/>
      <c r="GA72" s="233"/>
      <c r="GB72" s="233"/>
      <c r="GC72" s="233"/>
      <c r="GD72" s="233"/>
      <c r="GE72" s="233"/>
      <c r="GF72" s="233"/>
      <c r="GG72" s="233"/>
      <c r="GH72" s="233"/>
      <c r="GI72" s="233"/>
      <c r="GJ72" s="233"/>
      <c r="GK72" s="233"/>
      <c r="GL72" s="233"/>
      <c r="GM72" s="233"/>
      <c r="GN72" s="233"/>
      <c r="GO72" s="233"/>
      <c r="GP72" s="233"/>
      <c r="GQ72" s="233"/>
      <c r="GR72" s="233"/>
      <c r="GS72" s="233"/>
      <c r="GT72" s="233"/>
      <c r="GU72" s="233"/>
      <c r="GV72" s="233"/>
      <c r="GW72" s="233"/>
      <c r="GX72" s="233"/>
      <c r="GY72" s="233"/>
      <c r="GZ72" s="233"/>
      <c r="HA72" s="233"/>
      <c r="HB72" s="233"/>
      <c r="HC72" s="233"/>
      <c r="HD72" s="233"/>
      <c r="HE72" s="233"/>
      <c r="HF72" s="233"/>
      <c r="HG72" s="233"/>
      <c r="HH72" s="233"/>
      <c r="HI72" s="233"/>
      <c r="HJ72" s="233"/>
      <c r="HK72" s="233"/>
      <c r="HL72" s="233"/>
      <c r="HM72" s="233"/>
      <c r="HN72" s="233"/>
      <c r="HO72" s="233"/>
      <c r="HP72" s="233"/>
      <c r="HQ72" s="233"/>
      <c r="HR72" s="233"/>
      <c r="HS72" s="233"/>
      <c r="HT72" s="233"/>
      <c r="HU72" s="233"/>
      <c r="HV72" s="233"/>
      <c r="HW72" s="233"/>
      <c r="HX72" s="233"/>
      <c r="HY72" s="233"/>
      <c r="HZ72" s="233"/>
      <c r="IA72" s="233"/>
      <c r="IB72" s="233"/>
      <c r="IC72" s="233"/>
      <c r="ID72" s="233"/>
      <c r="IE72" s="233"/>
      <c r="IF72" s="233"/>
      <c r="IG72" s="233"/>
      <c r="IH72" s="233"/>
      <c r="II72" s="233"/>
      <c r="IJ72" s="233"/>
      <c r="IK72" s="233"/>
      <c r="IL72" s="233"/>
      <c r="IM72" s="233"/>
      <c r="IN72" s="233"/>
      <c r="IO72" s="233"/>
      <c r="IP72" s="233"/>
      <c r="IQ72" s="233"/>
      <c r="IR72" s="233"/>
      <c r="IS72" s="233"/>
      <c r="IT72" s="233"/>
      <c r="IU72" s="233"/>
      <c r="IV72" s="233"/>
      <c r="IW72" s="233"/>
      <c r="IX72" s="233"/>
      <c r="IY72" s="233"/>
      <c r="IZ72" s="233"/>
      <c r="JA72" s="233"/>
      <c r="JB72" s="233"/>
      <c r="JC72" s="233"/>
      <c r="JD72" s="233"/>
      <c r="JE72" s="233"/>
      <c r="JF72" s="233"/>
      <c r="JG72" s="233"/>
      <c r="JH72" s="233"/>
      <c r="JI72" s="233"/>
      <c r="JJ72" s="233"/>
      <c r="JK72" s="233"/>
      <c r="JL72" s="233"/>
      <c r="JM72" s="233"/>
      <c r="JN72" s="233"/>
      <c r="JO72" s="233"/>
      <c r="JP72" s="233"/>
      <c r="JQ72" s="233"/>
      <c r="JR72" s="233"/>
      <c r="JS72" s="233"/>
      <c r="JT72" s="233"/>
      <c r="JU72" s="233"/>
      <c r="JV72" s="233"/>
      <c r="JW72" s="233"/>
      <c r="JX72" s="233"/>
      <c r="JY72" s="233"/>
      <c r="JZ72" s="233"/>
      <c r="KA72" s="233"/>
      <c r="KB72" s="233"/>
      <c r="KC72" s="233"/>
      <c r="KD72" s="233"/>
      <c r="KE72" s="233"/>
      <c r="KF72" s="233"/>
      <c r="KG72" s="233"/>
      <c r="KH72" s="233"/>
      <c r="KI72" s="233"/>
      <c r="KJ72" s="233"/>
      <c r="KK72" s="233"/>
      <c r="KL72" s="233"/>
      <c r="KM72" s="233"/>
      <c r="KN72" s="233"/>
      <c r="KO72" s="233"/>
      <c r="KP72" s="233"/>
      <c r="KQ72" s="233"/>
      <c r="KR72" s="233"/>
      <c r="KS72" s="233"/>
      <c r="KT72" s="233"/>
      <c r="KU72" s="233"/>
      <c r="KV72" s="233"/>
      <c r="KW72" s="233"/>
      <c r="KX72" s="233"/>
      <c r="KY72" s="233"/>
      <c r="KZ72" s="233"/>
      <c r="LA72" s="233"/>
      <c r="LB72" s="233"/>
      <c r="LC72" s="233"/>
      <c r="LD72" s="233"/>
      <c r="LE72" s="233"/>
      <c r="LF72" s="233"/>
      <c r="LG72" s="233"/>
      <c r="LH72" s="233"/>
      <c r="LI72" s="233"/>
      <c r="LJ72" s="233"/>
      <c r="LK72" s="233"/>
      <c r="LL72" s="233"/>
      <c r="LM72" s="233"/>
      <c r="LN72" s="233"/>
      <c r="LO72" s="233"/>
      <c r="LP72" s="233"/>
      <c r="LQ72" s="233"/>
      <c r="LR72" s="233"/>
      <c r="LS72" s="233"/>
      <c r="LT72" s="233"/>
      <c r="LU72" s="233"/>
      <c r="LV72" s="233"/>
      <c r="LW72" s="233"/>
      <c r="LX72" s="233"/>
      <c r="LY72" s="233"/>
      <c r="LZ72" s="233"/>
      <c r="MA72" s="233"/>
    </row>
    <row r="73" spans="1:339" ht="60" customHeight="1" x14ac:dyDescent="0.25">
      <c r="A73" s="40" t="s">
        <v>1304</v>
      </c>
      <c r="B73" s="40" t="s">
        <v>1458</v>
      </c>
      <c r="C73" s="48" t="s">
        <v>1466</v>
      </c>
      <c r="D73" s="40" t="s">
        <v>1461</v>
      </c>
      <c r="E73" s="160" t="s">
        <v>1371</v>
      </c>
      <c r="F73" s="90" t="s">
        <v>243</v>
      </c>
      <c r="G73" s="34"/>
      <c r="H73" s="46"/>
      <c r="I73" s="15"/>
      <c r="J73" s="17" t="str">
        <f>IF(H73&gt;0,(H73*VLOOKUP(Lookups!$K$11,Lookups!$M$10:$P$43,4,0)/VLOOKUP(I73,Lookups!$M$10:$P$43,4,0)),"")</f>
        <v/>
      </c>
      <c r="K73" s="201">
        <f>(79.9736726085447*K3)/1000</f>
        <v>19.833470806919085</v>
      </c>
      <c r="L73" s="15" t="s">
        <v>1521</v>
      </c>
      <c r="M73" s="111">
        <f>IF(K73&gt;0,(K73*VLOOKUP(Lookups!$K$11,Lookups!$M$10:$P$43,4,0)/VLOOKUP(L73,Lookups!$M$10:$P$43,4,0)),"")</f>
        <v>20.637614512259784</v>
      </c>
      <c r="N73" s="46"/>
      <c r="O73" s="15"/>
      <c r="P73" s="17" t="str">
        <f>IF(N73&gt;0,(N73*VLOOKUP(Lookups!$K$11,Lookups!$M$10:$P$43,4,0)/VLOOKUP(O73,Lookups!$M$10:$P$43,4,0)),"")</f>
        <v/>
      </c>
      <c r="Q73" s="235" t="s">
        <v>2367</v>
      </c>
      <c r="R73" s="15" t="s">
        <v>154</v>
      </c>
      <c r="S73" s="107" t="s">
        <v>2719</v>
      </c>
      <c r="T73" s="15" t="s">
        <v>923</v>
      </c>
      <c r="U73" s="90" t="s">
        <v>2283</v>
      </c>
    </row>
    <row r="74" spans="1:339" ht="60" customHeight="1" collapsed="1" x14ac:dyDescent="0.25">
      <c r="A74" s="40" t="s">
        <v>1304</v>
      </c>
      <c r="B74" s="40" t="s">
        <v>1458</v>
      </c>
      <c r="C74" s="48" t="s">
        <v>1468</v>
      </c>
      <c r="D74" s="40" t="s">
        <v>1462</v>
      </c>
      <c r="E74" s="160" t="s">
        <v>1371</v>
      </c>
      <c r="F74" s="90" t="s">
        <v>243</v>
      </c>
      <c r="G74" s="34"/>
      <c r="H74" s="46"/>
      <c r="I74" s="15"/>
      <c r="J74" s="17" t="str">
        <f>IF(H74&gt;0,(H74*VLOOKUP(Lookups!$K$11,Lookups!$M$10:$P$43,4,0)/VLOOKUP(I74,Lookups!$M$10:$P$43,4,0)),"")</f>
        <v/>
      </c>
      <c r="K74" s="201">
        <f>(3116.29156386962*K3)/1000</f>
        <v>772.8403078396658</v>
      </c>
      <c r="L74" s="15" t="s">
        <v>1521</v>
      </c>
      <c r="M74" s="111">
        <f>IF(K74&gt;0,(K74*VLOOKUP(Lookups!$K$11,Lookups!$M$10:$P$43,4,0)/VLOOKUP(L74,Lookups!$M$10:$P$43,4,0)),"")</f>
        <v>804.17494789500233</v>
      </c>
      <c r="N74" s="46"/>
      <c r="O74" s="15"/>
      <c r="P74" s="17" t="str">
        <f>IF(N74&gt;0,(N74*VLOOKUP(Lookups!$K$11,Lookups!$M$10:$P$43,4,0)/VLOOKUP(O74,Lookups!$M$10:$P$43,4,0)),"")</f>
        <v/>
      </c>
      <c r="Q74" s="235" t="s">
        <v>2367</v>
      </c>
      <c r="R74" s="15" t="s">
        <v>154</v>
      </c>
      <c r="S74" s="107" t="s">
        <v>2720</v>
      </c>
      <c r="T74" s="15" t="s">
        <v>923</v>
      </c>
      <c r="U74" s="90" t="s">
        <v>2283</v>
      </c>
    </row>
    <row r="75" spans="1:339" ht="60" hidden="1" customHeight="1" outlineLevel="1" x14ac:dyDescent="0.25">
      <c r="A75" s="50" t="s">
        <v>1304</v>
      </c>
      <c r="B75" s="50" t="s">
        <v>1458</v>
      </c>
      <c r="C75" s="50" t="s">
        <v>1470</v>
      </c>
      <c r="D75" s="50" t="s">
        <v>1463</v>
      </c>
      <c r="E75" s="160" t="s">
        <v>1371</v>
      </c>
      <c r="F75" s="90" t="s">
        <v>243</v>
      </c>
      <c r="G75" s="160"/>
      <c r="H75" s="161"/>
      <c r="I75" s="15"/>
      <c r="J75" s="17" t="str">
        <f>IF(H75&gt;0,(H75*VLOOKUP(Lookups!$K$11,Lookups!$M$10:$P$43,4,0)/VLOOKUP(I75,Lookups!$M$10:$P$43,4,0)),"")</f>
        <v/>
      </c>
      <c r="K75" s="198">
        <f>(8.90199224806202*K3)/1000</f>
        <v>2.2076940775193812</v>
      </c>
      <c r="L75" s="15" t="s">
        <v>1521</v>
      </c>
      <c r="M75" s="169">
        <f>IF(K75&gt;0,(K75*VLOOKUP(Lookups!$K$11,Lookups!$M$10:$P$43,4,0)/VLOOKUP(L75,Lookups!$M$10:$P$43,4,0)),"")</f>
        <v>2.2972045476250882</v>
      </c>
      <c r="N75" s="161"/>
      <c r="O75" s="15"/>
      <c r="P75" s="17" t="str">
        <f>IF(N75&gt;0,(N75*VLOOKUP(Lookups!$K$11,Lookups!$M$10:$P$43,4,0)/VLOOKUP(O75,Lookups!$M$10:$P$43,4,0)),"")</f>
        <v/>
      </c>
      <c r="Q75" s="235" t="s">
        <v>2368</v>
      </c>
      <c r="R75" s="15" t="s">
        <v>154</v>
      </c>
      <c r="S75" s="107" t="s">
        <v>2721</v>
      </c>
      <c r="T75" s="15" t="s">
        <v>923</v>
      </c>
      <c r="U75" s="90" t="s">
        <v>2283</v>
      </c>
    </row>
    <row r="76" spans="1:339" ht="60" customHeight="1" collapsed="1" x14ac:dyDescent="0.25">
      <c r="A76" s="40" t="s">
        <v>1304</v>
      </c>
      <c r="B76" s="40" t="s">
        <v>1458</v>
      </c>
      <c r="C76" s="48" t="s">
        <v>1473</v>
      </c>
      <c r="D76" s="40" t="s">
        <v>1464</v>
      </c>
      <c r="E76" s="160" t="s">
        <v>1371</v>
      </c>
      <c r="F76" s="90" t="s">
        <v>243</v>
      </c>
      <c r="G76" s="34"/>
      <c r="H76" s="46"/>
      <c r="I76" s="15"/>
      <c r="J76" s="17" t="str">
        <f>IF(H76&gt;0,(H76*VLOOKUP(Lookups!$K$11,Lookups!$M$10:$P$43,4,0)/VLOOKUP(I76,Lookups!$M$10:$P$43,4,0)),"")</f>
        <v/>
      </c>
      <c r="K76" s="201">
        <f>(446.2415*K3)/1000</f>
        <v>110.66789199999999</v>
      </c>
      <c r="L76" s="15" t="s">
        <v>1521</v>
      </c>
      <c r="M76" s="111">
        <f>IF(K76&gt;0,(K76*VLOOKUP(Lookups!$K$11,Lookups!$M$10:$P$43,4,0)/VLOOKUP(L76,Lookups!$M$10:$P$43,4,0)),"")</f>
        <v>115.1548973053991</v>
      </c>
      <c r="N76" s="46"/>
      <c r="O76" s="15"/>
      <c r="P76" s="17" t="str">
        <f>IF(N76&gt;0,(N76*VLOOKUP(Lookups!$K$11,Lookups!$M$10:$P$43,4,0)/VLOOKUP(O76,Lookups!$M$10:$P$43,4,0)),"")</f>
        <v/>
      </c>
      <c r="Q76" s="235" t="s">
        <v>2368</v>
      </c>
      <c r="R76" s="15" t="s">
        <v>154</v>
      </c>
      <c r="S76" s="107" t="s">
        <v>2722</v>
      </c>
      <c r="T76" s="15" t="s">
        <v>923</v>
      </c>
      <c r="U76" s="90" t="s">
        <v>2283</v>
      </c>
    </row>
    <row r="77" spans="1:339" ht="60" hidden="1" customHeight="1" outlineLevel="1" x14ac:dyDescent="0.25">
      <c r="A77" s="50" t="s">
        <v>1304</v>
      </c>
      <c r="B77" s="50" t="s">
        <v>1458</v>
      </c>
      <c r="C77" s="50" t="s">
        <v>1474</v>
      </c>
      <c r="D77" s="50" t="s">
        <v>1465</v>
      </c>
      <c r="E77" s="160" t="s">
        <v>1371</v>
      </c>
      <c r="F77" s="90" t="s">
        <v>243</v>
      </c>
      <c r="G77" s="160"/>
      <c r="H77" s="161"/>
      <c r="I77" s="15"/>
      <c r="J77" s="17" t="str">
        <f>IF(H77&gt;0,(H77*VLOOKUP(Lookups!$K$11,Lookups!$M$10:$P$43,4,0)/VLOOKUP(I77,Lookups!$M$10:$P$43,4,0)),"")</f>
        <v/>
      </c>
      <c r="K77" s="201">
        <f>(467.0458*K3)/1000</f>
        <v>115.82735839999999</v>
      </c>
      <c r="L77" s="15" t="s">
        <v>1521</v>
      </c>
      <c r="M77" s="114">
        <f>IF(K77&gt;0,(K77*VLOOKUP(Lookups!$K$11,Lookups!$M$10:$P$43,4,0)/VLOOKUP(L77,Lookups!$M$10:$P$43,4,0)),"")</f>
        <v>120.52355313416159</v>
      </c>
      <c r="N77" s="161"/>
      <c r="O77" s="15"/>
      <c r="P77" s="17" t="str">
        <f>IF(N77&gt;0,(N77*VLOOKUP(Lookups!$K$11,Lookups!$M$10:$P$43,4,0)/VLOOKUP(O77,Lookups!$M$10:$P$43,4,0)),"")</f>
        <v/>
      </c>
      <c r="Q77" s="235" t="s">
        <v>2368</v>
      </c>
      <c r="R77" s="15" t="s">
        <v>154</v>
      </c>
      <c r="S77" s="107" t="s">
        <v>2723</v>
      </c>
      <c r="T77" s="15" t="s">
        <v>923</v>
      </c>
      <c r="U77" s="90" t="s">
        <v>2283</v>
      </c>
    </row>
    <row r="78" spans="1:339" ht="60" customHeight="1" collapsed="1" x14ac:dyDescent="0.25">
      <c r="A78" s="40" t="s">
        <v>1304</v>
      </c>
      <c r="B78" s="40" t="s">
        <v>1469</v>
      </c>
      <c r="C78" s="48" t="s">
        <v>1479</v>
      </c>
      <c r="D78" s="40" t="s">
        <v>1471</v>
      </c>
      <c r="E78" s="160" t="s">
        <v>1467</v>
      </c>
      <c r="F78" s="90" t="s">
        <v>668</v>
      </c>
      <c r="G78" s="160"/>
      <c r="H78" s="161"/>
      <c r="I78" s="15"/>
      <c r="J78" s="17" t="str">
        <f>IF(H78&gt;0,(H78*VLOOKUP(Lookups!$K$11,Lookups!$M$10:$P$43,4,0)/VLOOKUP(I78,Lookups!$M$10:$P$43,4,0)),"")</f>
        <v/>
      </c>
      <c r="K78" s="198">
        <f>(149*K3)/1000</f>
        <v>36.951999999999998</v>
      </c>
      <c r="L78" s="15" t="s">
        <v>1521</v>
      </c>
      <c r="M78" s="111">
        <f>IF(K78&gt;0,(K78*VLOOKUP(Lookups!$K$11,Lookups!$M$10:$P$43,4,0)/VLOOKUP(L78,Lookups!$M$10:$P$43,4,0)),"")</f>
        <v>38.450210700942122</v>
      </c>
      <c r="N78" s="161"/>
      <c r="O78" s="15"/>
      <c r="P78" s="17" t="str">
        <f>IF(N78&gt;0,(N78*VLOOKUP(Lookups!$K$11,Lookups!$M$10:$P$43,4,0)/VLOOKUP(O78,Lookups!$M$10:$P$43,4,0)),"")</f>
        <v/>
      </c>
      <c r="Q78" s="235" t="s">
        <v>2370</v>
      </c>
      <c r="R78" s="15" t="s">
        <v>154</v>
      </c>
      <c r="S78" s="107" t="s">
        <v>2724</v>
      </c>
      <c r="T78" s="15" t="s">
        <v>923</v>
      </c>
      <c r="U78" s="90" t="s">
        <v>2283</v>
      </c>
    </row>
    <row r="79" spans="1:339" ht="60" hidden="1" customHeight="1" outlineLevel="1" x14ac:dyDescent="0.25">
      <c r="A79" s="50" t="s">
        <v>1304</v>
      </c>
      <c r="B79" s="50" t="s">
        <v>1469</v>
      </c>
      <c r="C79" s="50" t="s">
        <v>3136</v>
      </c>
      <c r="D79" s="50" t="s">
        <v>2285</v>
      </c>
      <c r="E79" s="160" t="s">
        <v>1467</v>
      </c>
      <c r="F79" s="90" t="s">
        <v>668</v>
      </c>
      <c r="G79" s="160"/>
      <c r="H79" s="161"/>
      <c r="I79" s="15"/>
      <c r="J79" s="17" t="str">
        <f>IF(H79&gt;0,(H79*VLOOKUP(Lookups!$K$11,Lookups!$M$10:$P$43,4,0)/VLOOKUP(I79,Lookups!$M$10:$P$43,4,0)),"")</f>
        <v/>
      </c>
      <c r="K79" s="198">
        <f>(272*K3)/1000</f>
        <v>67.456000000000003</v>
      </c>
      <c r="L79" s="15" t="s">
        <v>1521</v>
      </c>
      <c r="M79" s="169">
        <f>IF(K79&gt;0,(K79*VLOOKUP(Lookups!$K$11,Lookups!$M$10:$P$43,4,0)/VLOOKUP(L79,Lookups!$M$10:$P$43,4,0)),"")</f>
        <v>70.19098866212255</v>
      </c>
      <c r="N79" s="161"/>
      <c r="O79" s="15"/>
      <c r="P79" s="17" t="str">
        <f>IF(N79&gt;0,(N79*VLOOKUP(Lookups!$K$11,Lookups!$M$10:$P$43,4,0)/VLOOKUP(O79,Lookups!$M$10:$P$43,4,0)),"")</f>
        <v/>
      </c>
      <c r="Q79" s="235" t="s">
        <v>2371</v>
      </c>
      <c r="R79" s="15" t="s">
        <v>154</v>
      </c>
      <c r="S79" s="107" t="s">
        <v>2725</v>
      </c>
      <c r="T79" s="15" t="s">
        <v>923</v>
      </c>
      <c r="U79" s="90" t="s">
        <v>2283</v>
      </c>
    </row>
    <row r="80" spans="1:339" s="54" customFormat="1" ht="60" customHeight="1" collapsed="1" x14ac:dyDescent="0.25">
      <c r="A80" s="40" t="s">
        <v>1304</v>
      </c>
      <c r="B80" s="40" t="s">
        <v>1472</v>
      </c>
      <c r="C80" s="48" t="s">
        <v>1483</v>
      </c>
      <c r="D80" s="40" t="s">
        <v>1476</v>
      </c>
      <c r="E80" s="160" t="s">
        <v>1475</v>
      </c>
      <c r="F80" s="90" t="s">
        <v>212</v>
      </c>
      <c r="G80" s="34"/>
      <c r="H80" s="161"/>
      <c r="I80" s="15"/>
      <c r="J80" s="17" t="str">
        <f>IF(H80&gt;0,(H80*VLOOKUP(Lookups!$K$11,Lookups!$M$10:$P$43,4,0)/VLOOKUP(I80,Lookups!$M$10:$P$43,4,0)),"")</f>
        <v/>
      </c>
      <c r="K80" s="172">
        <f>(3731.48593973932*K4)+(3731.48593973932*K7)</f>
        <v>657.30541884023523</v>
      </c>
      <c r="L80" s="15" t="s">
        <v>261</v>
      </c>
      <c r="M80" s="161">
        <f>IF(K80&gt;0,(K80*VLOOKUP(Lookups!$K$11,Lookups!$M$10:$P$43,4,0)/VLOOKUP(L80,Lookups!$M$10:$P$43,4,0)),"")</f>
        <v>716.4825067020065</v>
      </c>
      <c r="N80" s="198">
        <f>(3731.48593973932*N10)</f>
        <v>7.4421307684893101</v>
      </c>
      <c r="O80" s="15" t="s">
        <v>261</v>
      </c>
      <c r="P80" s="111">
        <f>IF(N80&gt;0,(N80*VLOOKUP(Lookups!$K$11,Lookups!$M$10:$P$43,4,0)/VLOOKUP(O80,Lookups!$M$10:$P$43,4,0)),"")</f>
        <v>8.1121444542774803</v>
      </c>
      <c r="Q80" s="234" t="s">
        <v>2369</v>
      </c>
      <c r="R80" s="15" t="s">
        <v>154</v>
      </c>
      <c r="S80" s="107" t="s">
        <v>2381</v>
      </c>
      <c r="T80" s="15" t="s">
        <v>923</v>
      </c>
      <c r="U80" s="90" t="s">
        <v>2284</v>
      </c>
      <c r="V80" s="233"/>
      <c r="W80" s="233"/>
      <c r="X80" s="233"/>
      <c r="Y80" s="233"/>
      <c r="Z80" s="233"/>
      <c r="AA80" s="233"/>
      <c r="AB80" s="233"/>
      <c r="AC80" s="233"/>
      <c r="AD80" s="233"/>
      <c r="AE80" s="233"/>
      <c r="AF80" s="233"/>
      <c r="AG80" s="233"/>
      <c r="AH80" s="233"/>
      <c r="AI80" s="233"/>
      <c r="AJ80" s="233"/>
      <c r="AK80" s="233"/>
      <c r="AL80" s="233"/>
      <c r="AM80" s="233"/>
      <c r="AN80" s="233"/>
      <c r="AO80" s="233"/>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233"/>
      <c r="BO80" s="233"/>
      <c r="BP80" s="233"/>
      <c r="BQ80" s="233"/>
      <c r="BR80" s="233"/>
      <c r="BS80" s="233"/>
      <c r="BT80" s="233"/>
      <c r="BU80" s="233"/>
      <c r="BV80" s="233"/>
      <c r="BW80" s="233"/>
      <c r="BX80" s="233"/>
      <c r="BY80" s="233"/>
      <c r="BZ80" s="233"/>
      <c r="CA80" s="233"/>
      <c r="CB80" s="233"/>
      <c r="CC80" s="233"/>
      <c r="CD80" s="233"/>
      <c r="CE80" s="233"/>
      <c r="CF80" s="233"/>
      <c r="CG80" s="233"/>
      <c r="CH80" s="233"/>
      <c r="CI80" s="233"/>
      <c r="CJ80" s="233"/>
      <c r="CK80" s="233"/>
      <c r="CL80" s="233"/>
      <c r="CM80" s="233"/>
      <c r="CN80" s="233"/>
      <c r="CO80" s="233"/>
      <c r="CP80" s="233"/>
      <c r="CQ80" s="233"/>
      <c r="CR80" s="233"/>
      <c r="CS80" s="233"/>
      <c r="CT80" s="233"/>
      <c r="CU80" s="233"/>
      <c r="CV80" s="233"/>
      <c r="CW80" s="233"/>
      <c r="CX80" s="233"/>
      <c r="CY80" s="233"/>
      <c r="CZ80" s="233"/>
      <c r="DA80" s="233"/>
      <c r="DB80" s="233"/>
      <c r="DC80" s="233"/>
      <c r="DD80" s="233"/>
      <c r="DE80" s="233"/>
      <c r="DF80" s="233"/>
      <c r="DG80" s="233"/>
      <c r="DH80" s="233"/>
      <c r="DI80" s="233"/>
      <c r="DJ80" s="233"/>
      <c r="DK80" s="233"/>
      <c r="DL80" s="233"/>
      <c r="DM80" s="233"/>
      <c r="DN80" s="233"/>
      <c r="DO80" s="233"/>
      <c r="DP80" s="233"/>
      <c r="DQ80" s="233"/>
      <c r="DR80" s="233"/>
      <c r="DS80" s="233"/>
      <c r="DT80" s="233"/>
      <c r="DU80" s="233"/>
      <c r="DV80" s="233"/>
      <c r="DW80" s="233"/>
      <c r="DX80" s="233"/>
      <c r="DY80" s="233"/>
      <c r="DZ80" s="233"/>
      <c r="EA80" s="233"/>
      <c r="EB80" s="233"/>
      <c r="EC80" s="233"/>
      <c r="ED80" s="233"/>
      <c r="EE80" s="233"/>
      <c r="EF80" s="233"/>
      <c r="EG80" s="233"/>
      <c r="EH80" s="233"/>
      <c r="EI80" s="233"/>
      <c r="EJ80" s="233"/>
      <c r="EK80" s="233"/>
      <c r="EL80" s="233"/>
      <c r="EM80" s="233"/>
      <c r="EN80" s="233"/>
      <c r="EO80" s="233"/>
      <c r="EP80" s="233"/>
      <c r="EQ80" s="233"/>
      <c r="ER80" s="233"/>
      <c r="ES80" s="233"/>
      <c r="ET80" s="233"/>
      <c r="EU80" s="233"/>
      <c r="EV80" s="233"/>
      <c r="EW80" s="233"/>
      <c r="EX80" s="233"/>
      <c r="EY80" s="233"/>
      <c r="EZ80" s="233"/>
      <c r="FA80" s="233"/>
      <c r="FB80" s="233"/>
      <c r="FC80" s="233"/>
      <c r="FD80" s="233"/>
      <c r="FE80" s="233"/>
      <c r="FF80" s="233"/>
      <c r="FG80" s="233"/>
      <c r="FH80" s="233"/>
      <c r="FI80" s="233"/>
      <c r="FJ80" s="233"/>
      <c r="FK80" s="233"/>
      <c r="FL80" s="233"/>
      <c r="FM80" s="233"/>
      <c r="FN80" s="233"/>
      <c r="FO80" s="233"/>
      <c r="FP80" s="233"/>
      <c r="FQ80" s="233"/>
      <c r="FR80" s="233"/>
      <c r="FS80" s="233"/>
      <c r="FT80" s="233"/>
      <c r="FU80" s="233"/>
      <c r="FV80" s="233"/>
      <c r="FW80" s="233"/>
      <c r="FX80" s="233"/>
      <c r="FY80" s="233"/>
      <c r="FZ80" s="233"/>
      <c r="GA80" s="233"/>
      <c r="GB80" s="233"/>
      <c r="GC80" s="233"/>
      <c r="GD80" s="233"/>
      <c r="GE80" s="233"/>
      <c r="GF80" s="233"/>
      <c r="GG80" s="233"/>
      <c r="GH80" s="233"/>
      <c r="GI80" s="233"/>
      <c r="GJ80" s="233"/>
      <c r="GK80" s="233"/>
      <c r="GL80" s="233"/>
      <c r="GM80" s="233"/>
      <c r="GN80" s="233"/>
      <c r="GO80" s="233"/>
      <c r="GP80" s="233"/>
      <c r="GQ80" s="233"/>
      <c r="GR80" s="233"/>
      <c r="GS80" s="233"/>
      <c r="GT80" s="233"/>
      <c r="GU80" s="233"/>
      <c r="GV80" s="233"/>
      <c r="GW80" s="233"/>
      <c r="GX80" s="233"/>
      <c r="GY80" s="233"/>
      <c r="GZ80" s="233"/>
      <c r="HA80" s="233"/>
      <c r="HB80" s="233"/>
      <c r="HC80" s="233"/>
      <c r="HD80" s="233"/>
      <c r="HE80" s="233"/>
      <c r="HF80" s="233"/>
      <c r="HG80" s="233"/>
      <c r="HH80" s="233"/>
      <c r="HI80" s="233"/>
      <c r="HJ80" s="233"/>
      <c r="HK80" s="233"/>
      <c r="HL80" s="233"/>
      <c r="HM80" s="233"/>
      <c r="HN80" s="233"/>
      <c r="HO80" s="233"/>
      <c r="HP80" s="233"/>
      <c r="HQ80" s="233"/>
      <c r="HR80" s="233"/>
      <c r="HS80" s="233"/>
      <c r="HT80" s="233"/>
      <c r="HU80" s="233"/>
      <c r="HV80" s="233"/>
      <c r="HW80" s="233"/>
      <c r="HX80" s="233"/>
      <c r="HY80" s="233"/>
      <c r="HZ80" s="233"/>
      <c r="IA80" s="233"/>
      <c r="IB80" s="233"/>
      <c r="IC80" s="233"/>
      <c r="ID80" s="233"/>
      <c r="IE80" s="233"/>
      <c r="IF80" s="233"/>
      <c r="IG80" s="233"/>
      <c r="IH80" s="233"/>
      <c r="II80" s="233"/>
      <c r="IJ80" s="233"/>
      <c r="IK80" s="233"/>
      <c r="IL80" s="233"/>
      <c r="IM80" s="233"/>
      <c r="IN80" s="233"/>
      <c r="IO80" s="233"/>
      <c r="IP80" s="233"/>
      <c r="IQ80" s="233"/>
      <c r="IR80" s="233"/>
      <c r="IS80" s="233"/>
      <c r="IT80" s="233"/>
      <c r="IU80" s="233"/>
      <c r="IV80" s="233"/>
      <c r="IW80" s="233"/>
      <c r="IX80" s="233"/>
      <c r="IY80" s="233"/>
      <c r="IZ80" s="233"/>
      <c r="JA80" s="233"/>
      <c r="JB80" s="233"/>
      <c r="JC80" s="233"/>
      <c r="JD80" s="233"/>
      <c r="JE80" s="233"/>
      <c r="JF80" s="233"/>
      <c r="JG80" s="233"/>
      <c r="JH80" s="233"/>
      <c r="JI80" s="233"/>
      <c r="JJ80" s="233"/>
      <c r="JK80" s="233"/>
      <c r="JL80" s="233"/>
      <c r="JM80" s="233"/>
      <c r="JN80" s="233"/>
      <c r="JO80" s="233"/>
      <c r="JP80" s="233"/>
      <c r="JQ80" s="233"/>
      <c r="JR80" s="233"/>
      <c r="JS80" s="233"/>
      <c r="JT80" s="233"/>
      <c r="JU80" s="233"/>
      <c r="JV80" s="233"/>
      <c r="JW80" s="233"/>
      <c r="JX80" s="233"/>
      <c r="JY80" s="233"/>
      <c r="JZ80" s="233"/>
      <c r="KA80" s="233"/>
      <c r="KB80" s="233"/>
      <c r="KC80" s="233"/>
      <c r="KD80" s="233"/>
      <c r="KE80" s="233"/>
      <c r="KF80" s="233"/>
      <c r="KG80" s="233"/>
      <c r="KH80" s="233"/>
      <c r="KI80" s="233"/>
      <c r="KJ80" s="233"/>
      <c r="KK80" s="233"/>
      <c r="KL80" s="233"/>
      <c r="KM80" s="233"/>
      <c r="KN80" s="233"/>
      <c r="KO80" s="233"/>
      <c r="KP80" s="233"/>
      <c r="KQ80" s="233"/>
      <c r="KR80" s="233"/>
      <c r="KS80" s="233"/>
      <c r="KT80" s="233"/>
      <c r="KU80" s="233"/>
      <c r="KV80" s="233"/>
      <c r="KW80" s="233"/>
      <c r="KX80" s="233"/>
      <c r="KY80" s="233"/>
      <c r="KZ80" s="233"/>
      <c r="LA80" s="233"/>
      <c r="LB80" s="233"/>
      <c r="LC80" s="233"/>
      <c r="LD80" s="233"/>
      <c r="LE80" s="233"/>
      <c r="LF80" s="233"/>
      <c r="LG80" s="233"/>
      <c r="LH80" s="233"/>
      <c r="LI80" s="233"/>
      <c r="LJ80" s="233"/>
      <c r="LK80" s="233"/>
      <c r="LL80" s="233"/>
      <c r="LM80" s="233"/>
      <c r="LN80" s="233"/>
      <c r="LO80" s="233"/>
      <c r="LP80" s="233"/>
      <c r="LQ80" s="233"/>
      <c r="LR80" s="233"/>
      <c r="LS80" s="233"/>
      <c r="LT80" s="233"/>
      <c r="LU80" s="233"/>
      <c r="LV80" s="233"/>
      <c r="LW80" s="233"/>
      <c r="LX80" s="233"/>
      <c r="LY80" s="233"/>
      <c r="LZ80" s="233"/>
      <c r="MA80" s="233"/>
    </row>
    <row r="81" spans="1:339" s="54" customFormat="1" ht="60" hidden="1" customHeight="1" outlineLevel="1" x14ac:dyDescent="0.25">
      <c r="A81" s="50" t="s">
        <v>1304</v>
      </c>
      <c r="B81" s="50" t="s">
        <v>1472</v>
      </c>
      <c r="C81" s="50" t="s">
        <v>1484</v>
      </c>
      <c r="D81" s="50" t="s">
        <v>1477</v>
      </c>
      <c r="E81" s="160" t="s">
        <v>1475</v>
      </c>
      <c r="F81" s="90" t="s">
        <v>212</v>
      </c>
      <c r="G81" s="34"/>
      <c r="H81" s="161"/>
      <c r="I81" s="15"/>
      <c r="J81" s="17" t="str">
        <f>IF(H81&gt;0,(H81*VLOOKUP(Lookups!$K$11,Lookups!$M$10:$P$43,4,0)/VLOOKUP(I81,Lookups!$M$10:$P$43,4,0)),"")</f>
        <v/>
      </c>
      <c r="K81" s="172">
        <f>(11525.5413949176*K14)+(11525.5413949176*K17)</f>
        <v>750.20528649264747</v>
      </c>
      <c r="L81" s="15" t="s">
        <v>261</v>
      </c>
      <c r="M81" s="17">
        <f>IF(K81&gt;0,(K81*VLOOKUP(Lookups!$K$11,Lookups!$M$10:$P$43,4,0)/VLOOKUP(L81,Lookups!$M$10:$P$43,4,0)),"")</f>
        <v>817.74613262087837</v>
      </c>
      <c r="N81" s="198">
        <f>11525.5413949176*N18</f>
        <v>18.421685959515454</v>
      </c>
      <c r="O81" s="15" t="s">
        <v>261</v>
      </c>
      <c r="P81" s="111">
        <f>IF(N81&gt;0,(N81*VLOOKUP(Lookups!$K$11,Lookups!$M$10:$P$43,4,0)/VLOOKUP(O81,Lookups!$M$10:$P$43,4,0)),"")</f>
        <v>20.08018701144908</v>
      </c>
      <c r="Q81" s="234" t="s">
        <v>2369</v>
      </c>
      <c r="R81" s="15" t="s">
        <v>154</v>
      </c>
      <c r="S81" s="107" t="s">
        <v>2382</v>
      </c>
      <c r="T81" s="15" t="s">
        <v>923</v>
      </c>
      <c r="U81" s="90" t="s">
        <v>2284</v>
      </c>
      <c r="V81" s="233"/>
      <c r="W81" s="233"/>
      <c r="X81" s="233"/>
      <c r="Y81" s="233"/>
      <c r="Z81" s="233"/>
      <c r="AA81" s="233"/>
      <c r="AB81" s="233"/>
      <c r="AC81" s="233"/>
      <c r="AD81" s="233"/>
      <c r="AE81" s="233"/>
      <c r="AF81" s="233"/>
      <c r="AG81" s="233"/>
      <c r="AH81" s="233"/>
      <c r="AI81" s="233"/>
      <c r="AJ81" s="233"/>
      <c r="AK81" s="233"/>
      <c r="AL81" s="233"/>
      <c r="AM81" s="233"/>
      <c r="AN81" s="233"/>
      <c r="AO81" s="233"/>
      <c r="AP81" s="233"/>
      <c r="AQ81" s="233"/>
      <c r="AR81" s="233"/>
      <c r="AS81" s="233"/>
      <c r="AT81" s="233"/>
      <c r="AU81" s="233"/>
      <c r="AV81" s="233"/>
      <c r="AW81" s="233"/>
      <c r="AX81" s="233"/>
      <c r="AY81" s="233"/>
      <c r="AZ81" s="233"/>
      <c r="BA81" s="233"/>
      <c r="BB81" s="233"/>
      <c r="BC81" s="233"/>
      <c r="BD81" s="233"/>
      <c r="BE81" s="233"/>
      <c r="BF81" s="233"/>
      <c r="BG81" s="233"/>
      <c r="BH81" s="233"/>
      <c r="BI81" s="233"/>
      <c r="BJ81" s="233"/>
      <c r="BK81" s="233"/>
      <c r="BL81" s="233"/>
      <c r="BM81" s="233"/>
      <c r="BN81" s="233"/>
      <c r="BO81" s="233"/>
      <c r="BP81" s="233"/>
      <c r="BQ81" s="233"/>
      <c r="BR81" s="233"/>
      <c r="BS81" s="233"/>
      <c r="BT81" s="233"/>
      <c r="BU81" s="233"/>
      <c r="BV81" s="233"/>
      <c r="BW81" s="233"/>
      <c r="BX81" s="233"/>
      <c r="BY81" s="233"/>
      <c r="BZ81" s="233"/>
      <c r="CA81" s="233"/>
      <c r="CB81" s="233"/>
      <c r="CC81" s="233"/>
      <c r="CD81" s="233"/>
      <c r="CE81" s="233"/>
      <c r="CF81" s="233"/>
      <c r="CG81" s="233"/>
      <c r="CH81" s="233"/>
      <c r="CI81" s="233"/>
      <c r="CJ81" s="233"/>
      <c r="CK81" s="233"/>
      <c r="CL81" s="233"/>
      <c r="CM81" s="233"/>
      <c r="CN81" s="233"/>
      <c r="CO81" s="233"/>
      <c r="CP81" s="233"/>
      <c r="CQ81" s="233"/>
      <c r="CR81" s="233"/>
      <c r="CS81" s="233"/>
      <c r="CT81" s="233"/>
      <c r="CU81" s="233"/>
      <c r="CV81" s="233"/>
      <c r="CW81" s="233"/>
      <c r="CX81" s="233"/>
      <c r="CY81" s="233"/>
      <c r="CZ81" s="233"/>
      <c r="DA81" s="233"/>
      <c r="DB81" s="233"/>
      <c r="DC81" s="233"/>
      <c r="DD81" s="233"/>
      <c r="DE81" s="233"/>
      <c r="DF81" s="233"/>
      <c r="DG81" s="233"/>
      <c r="DH81" s="233"/>
      <c r="DI81" s="233"/>
      <c r="DJ81" s="233"/>
      <c r="DK81" s="233"/>
      <c r="DL81" s="233"/>
      <c r="DM81" s="233"/>
      <c r="DN81" s="233"/>
      <c r="DO81" s="233"/>
      <c r="DP81" s="233"/>
      <c r="DQ81" s="233"/>
      <c r="DR81" s="233"/>
      <c r="DS81" s="233"/>
      <c r="DT81" s="233"/>
      <c r="DU81" s="233"/>
      <c r="DV81" s="233"/>
      <c r="DW81" s="233"/>
      <c r="DX81" s="233"/>
      <c r="DY81" s="233"/>
      <c r="DZ81" s="233"/>
      <c r="EA81" s="233"/>
      <c r="EB81" s="233"/>
      <c r="EC81" s="233"/>
      <c r="ED81" s="233"/>
      <c r="EE81" s="233"/>
      <c r="EF81" s="233"/>
      <c r="EG81" s="233"/>
      <c r="EH81" s="233"/>
      <c r="EI81" s="233"/>
      <c r="EJ81" s="233"/>
      <c r="EK81" s="233"/>
      <c r="EL81" s="233"/>
      <c r="EM81" s="233"/>
      <c r="EN81" s="233"/>
      <c r="EO81" s="233"/>
      <c r="EP81" s="233"/>
      <c r="EQ81" s="233"/>
      <c r="ER81" s="233"/>
      <c r="ES81" s="233"/>
      <c r="ET81" s="233"/>
      <c r="EU81" s="233"/>
      <c r="EV81" s="233"/>
      <c r="EW81" s="233"/>
      <c r="EX81" s="233"/>
      <c r="EY81" s="233"/>
      <c r="EZ81" s="233"/>
      <c r="FA81" s="233"/>
      <c r="FB81" s="233"/>
      <c r="FC81" s="233"/>
      <c r="FD81" s="233"/>
      <c r="FE81" s="233"/>
      <c r="FF81" s="233"/>
      <c r="FG81" s="233"/>
      <c r="FH81" s="233"/>
      <c r="FI81" s="233"/>
      <c r="FJ81" s="233"/>
      <c r="FK81" s="233"/>
      <c r="FL81" s="233"/>
      <c r="FM81" s="233"/>
      <c r="FN81" s="233"/>
      <c r="FO81" s="233"/>
      <c r="FP81" s="233"/>
      <c r="FQ81" s="233"/>
      <c r="FR81" s="233"/>
      <c r="FS81" s="233"/>
      <c r="FT81" s="233"/>
      <c r="FU81" s="233"/>
      <c r="FV81" s="233"/>
      <c r="FW81" s="233"/>
      <c r="FX81" s="233"/>
      <c r="FY81" s="233"/>
      <c r="FZ81" s="233"/>
      <c r="GA81" s="233"/>
      <c r="GB81" s="233"/>
      <c r="GC81" s="233"/>
      <c r="GD81" s="233"/>
      <c r="GE81" s="233"/>
      <c r="GF81" s="233"/>
      <c r="GG81" s="233"/>
      <c r="GH81" s="233"/>
      <c r="GI81" s="233"/>
      <c r="GJ81" s="233"/>
      <c r="GK81" s="233"/>
      <c r="GL81" s="233"/>
      <c r="GM81" s="233"/>
      <c r="GN81" s="233"/>
      <c r="GO81" s="233"/>
      <c r="GP81" s="233"/>
      <c r="GQ81" s="233"/>
      <c r="GR81" s="233"/>
      <c r="GS81" s="233"/>
      <c r="GT81" s="233"/>
      <c r="GU81" s="233"/>
      <c r="GV81" s="233"/>
      <c r="GW81" s="233"/>
      <c r="GX81" s="233"/>
      <c r="GY81" s="233"/>
      <c r="GZ81" s="233"/>
      <c r="HA81" s="233"/>
      <c r="HB81" s="233"/>
      <c r="HC81" s="233"/>
      <c r="HD81" s="233"/>
      <c r="HE81" s="233"/>
      <c r="HF81" s="233"/>
      <c r="HG81" s="233"/>
      <c r="HH81" s="233"/>
      <c r="HI81" s="233"/>
      <c r="HJ81" s="233"/>
      <c r="HK81" s="233"/>
      <c r="HL81" s="233"/>
      <c r="HM81" s="233"/>
      <c r="HN81" s="233"/>
      <c r="HO81" s="233"/>
      <c r="HP81" s="233"/>
      <c r="HQ81" s="233"/>
      <c r="HR81" s="233"/>
      <c r="HS81" s="233"/>
      <c r="HT81" s="233"/>
      <c r="HU81" s="233"/>
      <c r="HV81" s="233"/>
      <c r="HW81" s="233"/>
      <c r="HX81" s="233"/>
      <c r="HY81" s="233"/>
      <c r="HZ81" s="233"/>
      <c r="IA81" s="233"/>
      <c r="IB81" s="233"/>
      <c r="IC81" s="233"/>
      <c r="ID81" s="233"/>
      <c r="IE81" s="233"/>
      <c r="IF81" s="233"/>
      <c r="IG81" s="233"/>
      <c r="IH81" s="233"/>
      <c r="II81" s="233"/>
      <c r="IJ81" s="233"/>
      <c r="IK81" s="233"/>
      <c r="IL81" s="233"/>
      <c r="IM81" s="233"/>
      <c r="IN81" s="233"/>
      <c r="IO81" s="233"/>
      <c r="IP81" s="233"/>
      <c r="IQ81" s="233"/>
      <c r="IR81" s="233"/>
      <c r="IS81" s="233"/>
      <c r="IT81" s="233"/>
      <c r="IU81" s="233"/>
      <c r="IV81" s="233"/>
      <c r="IW81" s="233"/>
      <c r="IX81" s="233"/>
      <c r="IY81" s="233"/>
      <c r="IZ81" s="233"/>
      <c r="JA81" s="233"/>
      <c r="JB81" s="233"/>
      <c r="JC81" s="233"/>
      <c r="JD81" s="233"/>
      <c r="JE81" s="233"/>
      <c r="JF81" s="233"/>
      <c r="JG81" s="233"/>
      <c r="JH81" s="233"/>
      <c r="JI81" s="233"/>
      <c r="JJ81" s="233"/>
      <c r="JK81" s="233"/>
      <c r="JL81" s="233"/>
      <c r="JM81" s="233"/>
      <c r="JN81" s="233"/>
      <c r="JO81" s="233"/>
      <c r="JP81" s="233"/>
      <c r="JQ81" s="233"/>
      <c r="JR81" s="233"/>
      <c r="JS81" s="233"/>
      <c r="JT81" s="233"/>
      <c r="JU81" s="233"/>
      <c r="JV81" s="233"/>
      <c r="JW81" s="233"/>
      <c r="JX81" s="233"/>
      <c r="JY81" s="233"/>
      <c r="JZ81" s="233"/>
      <c r="KA81" s="233"/>
      <c r="KB81" s="233"/>
      <c r="KC81" s="233"/>
      <c r="KD81" s="233"/>
      <c r="KE81" s="233"/>
      <c r="KF81" s="233"/>
      <c r="KG81" s="233"/>
      <c r="KH81" s="233"/>
      <c r="KI81" s="233"/>
      <c r="KJ81" s="233"/>
      <c r="KK81" s="233"/>
      <c r="KL81" s="233"/>
      <c r="KM81" s="233"/>
      <c r="KN81" s="233"/>
      <c r="KO81" s="233"/>
      <c r="KP81" s="233"/>
      <c r="KQ81" s="233"/>
      <c r="KR81" s="233"/>
      <c r="KS81" s="233"/>
      <c r="KT81" s="233"/>
      <c r="KU81" s="233"/>
      <c r="KV81" s="233"/>
      <c r="KW81" s="233"/>
      <c r="KX81" s="233"/>
      <c r="KY81" s="233"/>
      <c r="KZ81" s="233"/>
      <c r="LA81" s="233"/>
      <c r="LB81" s="233"/>
      <c r="LC81" s="233"/>
      <c r="LD81" s="233"/>
      <c r="LE81" s="233"/>
      <c r="LF81" s="233"/>
      <c r="LG81" s="233"/>
      <c r="LH81" s="233"/>
      <c r="LI81" s="233"/>
      <c r="LJ81" s="233"/>
      <c r="LK81" s="233"/>
      <c r="LL81" s="233"/>
      <c r="LM81" s="233"/>
      <c r="LN81" s="233"/>
      <c r="LO81" s="233"/>
      <c r="LP81" s="233"/>
      <c r="LQ81" s="233"/>
      <c r="LR81" s="233"/>
      <c r="LS81" s="233"/>
      <c r="LT81" s="233"/>
      <c r="LU81" s="233"/>
      <c r="LV81" s="233"/>
      <c r="LW81" s="233"/>
      <c r="LX81" s="233"/>
      <c r="LY81" s="233"/>
      <c r="LZ81" s="233"/>
      <c r="MA81" s="233"/>
    </row>
    <row r="82" spans="1:339" s="54" customFormat="1" ht="60" customHeight="1" x14ac:dyDescent="0.25">
      <c r="A82" s="40" t="s">
        <v>1304</v>
      </c>
      <c r="B82" s="40" t="s">
        <v>1478</v>
      </c>
      <c r="C82" s="48" t="s">
        <v>1495</v>
      </c>
      <c r="D82" s="40" t="s">
        <v>1513</v>
      </c>
      <c r="E82" s="160" t="s">
        <v>1480</v>
      </c>
      <c r="F82" s="90" t="s">
        <v>243</v>
      </c>
      <c r="G82" s="34"/>
      <c r="H82" s="161"/>
      <c r="I82" s="15"/>
      <c r="J82" s="17" t="str">
        <f>IF(H82&gt;0,(H82*VLOOKUP(Lookups!$K$11,Lookups!$M$10:$P$43,4,0)/VLOOKUP(I82,Lookups!$M$10:$P$43,4,0)),"")</f>
        <v/>
      </c>
      <c r="K82" s="161">
        <v>7.5</v>
      </c>
      <c r="L82" s="15" t="s">
        <v>257</v>
      </c>
      <c r="M82" s="17">
        <f>IF(K82&gt;0,(K82*VLOOKUP(Lookups!$K$11,Lookups!$M$10:$P$43,4,0)/VLOOKUP(L82,Lookups!$M$10:$P$43,4,0)),"")</f>
        <v>8.8706651993302437</v>
      </c>
      <c r="N82" s="161"/>
      <c r="O82" s="15"/>
      <c r="P82" s="17" t="str">
        <f>IF(N82&gt;0,(N82*VLOOKUP(Lookups!$K$11,Lookups!$M$10:$P$43,4,0)/VLOOKUP(O82,Lookups!$M$10:$P$43,4,0)),"")</f>
        <v/>
      </c>
      <c r="Q82" s="234" t="s">
        <v>1399</v>
      </c>
      <c r="R82" s="15" t="s">
        <v>152</v>
      </c>
      <c r="S82" s="107" t="s">
        <v>1481</v>
      </c>
      <c r="T82" s="15"/>
      <c r="U82" s="90"/>
      <c r="V82" s="233"/>
      <c r="W82" s="233"/>
      <c r="X82" s="233"/>
      <c r="Y82" s="233"/>
      <c r="Z82" s="233"/>
      <c r="AA82" s="233"/>
      <c r="AB82" s="233"/>
      <c r="AC82" s="233"/>
      <c r="AD82" s="233"/>
      <c r="AE82" s="233"/>
      <c r="AF82" s="233"/>
      <c r="AG82" s="233"/>
      <c r="AH82" s="233"/>
      <c r="AI82" s="233"/>
      <c r="AJ82" s="233"/>
      <c r="AK82" s="233"/>
      <c r="AL82" s="233"/>
      <c r="AM82" s="233"/>
      <c r="AN82" s="233"/>
      <c r="AO82" s="233"/>
      <c r="AP82" s="233"/>
      <c r="AQ82" s="233"/>
      <c r="AR82" s="233"/>
      <c r="AS82" s="233"/>
      <c r="AT82" s="233"/>
      <c r="AU82" s="233"/>
      <c r="AV82" s="233"/>
      <c r="AW82" s="233"/>
      <c r="AX82" s="233"/>
      <c r="AY82" s="233"/>
      <c r="AZ82" s="233"/>
      <c r="BA82" s="233"/>
      <c r="BB82" s="233"/>
      <c r="BC82" s="233"/>
      <c r="BD82" s="233"/>
      <c r="BE82" s="233"/>
      <c r="BF82" s="233"/>
      <c r="BG82" s="233"/>
      <c r="BH82" s="233"/>
      <c r="BI82" s="233"/>
      <c r="BJ82" s="233"/>
      <c r="BK82" s="233"/>
      <c r="BL82" s="233"/>
      <c r="BM82" s="233"/>
      <c r="BN82" s="233"/>
      <c r="BO82" s="233"/>
      <c r="BP82" s="233"/>
      <c r="BQ82" s="233"/>
      <c r="BR82" s="233"/>
      <c r="BS82" s="233"/>
      <c r="BT82" s="233"/>
      <c r="BU82" s="233"/>
      <c r="BV82" s="233"/>
      <c r="BW82" s="233"/>
      <c r="BX82" s="233"/>
      <c r="BY82" s="233"/>
      <c r="BZ82" s="233"/>
      <c r="CA82" s="233"/>
      <c r="CB82" s="233"/>
      <c r="CC82" s="233"/>
      <c r="CD82" s="233"/>
      <c r="CE82" s="233"/>
      <c r="CF82" s="233"/>
      <c r="CG82" s="233"/>
      <c r="CH82" s="233"/>
      <c r="CI82" s="233"/>
      <c r="CJ82" s="233"/>
      <c r="CK82" s="233"/>
      <c r="CL82" s="233"/>
      <c r="CM82" s="233"/>
      <c r="CN82" s="233"/>
      <c r="CO82" s="233"/>
      <c r="CP82" s="233"/>
      <c r="CQ82" s="233"/>
      <c r="CR82" s="233"/>
      <c r="CS82" s="233"/>
      <c r="CT82" s="233"/>
      <c r="CU82" s="233"/>
      <c r="CV82" s="233"/>
      <c r="CW82" s="233"/>
      <c r="CX82" s="233"/>
      <c r="CY82" s="233"/>
      <c r="CZ82" s="233"/>
      <c r="DA82" s="233"/>
      <c r="DB82" s="233"/>
      <c r="DC82" s="233"/>
      <c r="DD82" s="233"/>
      <c r="DE82" s="233"/>
      <c r="DF82" s="233"/>
      <c r="DG82" s="233"/>
      <c r="DH82" s="233"/>
      <c r="DI82" s="233"/>
      <c r="DJ82" s="233"/>
      <c r="DK82" s="233"/>
      <c r="DL82" s="233"/>
      <c r="DM82" s="233"/>
      <c r="DN82" s="233"/>
      <c r="DO82" s="233"/>
      <c r="DP82" s="233"/>
      <c r="DQ82" s="233"/>
      <c r="DR82" s="233"/>
      <c r="DS82" s="233"/>
      <c r="DT82" s="233"/>
      <c r="DU82" s="233"/>
      <c r="DV82" s="233"/>
      <c r="DW82" s="233"/>
      <c r="DX82" s="233"/>
      <c r="DY82" s="233"/>
      <c r="DZ82" s="233"/>
      <c r="EA82" s="233"/>
      <c r="EB82" s="233"/>
      <c r="EC82" s="233"/>
      <c r="ED82" s="233"/>
      <c r="EE82" s="233"/>
      <c r="EF82" s="233"/>
      <c r="EG82" s="233"/>
      <c r="EH82" s="233"/>
      <c r="EI82" s="233"/>
      <c r="EJ82" s="233"/>
      <c r="EK82" s="233"/>
      <c r="EL82" s="233"/>
      <c r="EM82" s="233"/>
      <c r="EN82" s="233"/>
      <c r="EO82" s="233"/>
      <c r="EP82" s="233"/>
      <c r="EQ82" s="233"/>
      <c r="ER82" s="233"/>
      <c r="ES82" s="233"/>
      <c r="ET82" s="233"/>
      <c r="EU82" s="233"/>
      <c r="EV82" s="233"/>
      <c r="EW82" s="233"/>
      <c r="EX82" s="233"/>
      <c r="EY82" s="233"/>
      <c r="EZ82" s="233"/>
      <c r="FA82" s="233"/>
      <c r="FB82" s="233"/>
      <c r="FC82" s="233"/>
      <c r="FD82" s="233"/>
      <c r="FE82" s="233"/>
      <c r="FF82" s="233"/>
      <c r="FG82" s="233"/>
      <c r="FH82" s="233"/>
      <c r="FI82" s="233"/>
      <c r="FJ82" s="233"/>
      <c r="FK82" s="233"/>
      <c r="FL82" s="233"/>
      <c r="FM82" s="233"/>
      <c r="FN82" s="233"/>
      <c r="FO82" s="233"/>
      <c r="FP82" s="233"/>
      <c r="FQ82" s="233"/>
      <c r="FR82" s="233"/>
      <c r="FS82" s="233"/>
      <c r="FT82" s="233"/>
      <c r="FU82" s="233"/>
      <c r="FV82" s="233"/>
      <c r="FW82" s="233"/>
      <c r="FX82" s="233"/>
      <c r="FY82" s="233"/>
      <c r="FZ82" s="233"/>
      <c r="GA82" s="233"/>
      <c r="GB82" s="233"/>
      <c r="GC82" s="233"/>
      <c r="GD82" s="233"/>
      <c r="GE82" s="233"/>
      <c r="GF82" s="233"/>
      <c r="GG82" s="233"/>
      <c r="GH82" s="233"/>
      <c r="GI82" s="233"/>
      <c r="GJ82" s="233"/>
      <c r="GK82" s="233"/>
      <c r="GL82" s="233"/>
      <c r="GM82" s="233"/>
      <c r="GN82" s="233"/>
      <c r="GO82" s="233"/>
      <c r="GP82" s="233"/>
      <c r="GQ82" s="233"/>
      <c r="GR82" s="233"/>
      <c r="GS82" s="233"/>
      <c r="GT82" s="233"/>
      <c r="GU82" s="233"/>
      <c r="GV82" s="233"/>
      <c r="GW82" s="233"/>
      <c r="GX82" s="233"/>
      <c r="GY82" s="233"/>
      <c r="GZ82" s="233"/>
      <c r="HA82" s="233"/>
      <c r="HB82" s="233"/>
      <c r="HC82" s="233"/>
      <c r="HD82" s="233"/>
      <c r="HE82" s="233"/>
      <c r="HF82" s="233"/>
      <c r="HG82" s="233"/>
      <c r="HH82" s="233"/>
      <c r="HI82" s="233"/>
      <c r="HJ82" s="233"/>
      <c r="HK82" s="233"/>
      <c r="HL82" s="233"/>
      <c r="HM82" s="233"/>
      <c r="HN82" s="233"/>
      <c r="HO82" s="233"/>
      <c r="HP82" s="233"/>
      <c r="HQ82" s="233"/>
      <c r="HR82" s="233"/>
      <c r="HS82" s="233"/>
      <c r="HT82" s="233"/>
      <c r="HU82" s="233"/>
      <c r="HV82" s="233"/>
      <c r="HW82" s="233"/>
      <c r="HX82" s="233"/>
      <c r="HY82" s="233"/>
      <c r="HZ82" s="233"/>
      <c r="IA82" s="233"/>
      <c r="IB82" s="233"/>
      <c r="IC82" s="233"/>
      <c r="ID82" s="233"/>
      <c r="IE82" s="233"/>
      <c r="IF82" s="233"/>
      <c r="IG82" s="233"/>
      <c r="IH82" s="233"/>
      <c r="II82" s="233"/>
      <c r="IJ82" s="233"/>
      <c r="IK82" s="233"/>
      <c r="IL82" s="233"/>
      <c r="IM82" s="233"/>
      <c r="IN82" s="233"/>
      <c r="IO82" s="233"/>
      <c r="IP82" s="233"/>
      <c r="IQ82" s="233"/>
      <c r="IR82" s="233"/>
      <c r="IS82" s="233"/>
      <c r="IT82" s="233"/>
      <c r="IU82" s="233"/>
      <c r="IV82" s="233"/>
      <c r="IW82" s="233"/>
      <c r="IX82" s="233"/>
      <c r="IY82" s="233"/>
      <c r="IZ82" s="233"/>
      <c r="JA82" s="233"/>
      <c r="JB82" s="233"/>
      <c r="JC82" s="233"/>
      <c r="JD82" s="233"/>
      <c r="JE82" s="233"/>
      <c r="JF82" s="233"/>
      <c r="JG82" s="233"/>
      <c r="JH82" s="233"/>
      <c r="JI82" s="233"/>
      <c r="JJ82" s="233"/>
      <c r="JK82" s="233"/>
      <c r="JL82" s="233"/>
      <c r="JM82" s="233"/>
      <c r="JN82" s="233"/>
      <c r="JO82" s="233"/>
      <c r="JP82" s="233"/>
      <c r="JQ82" s="233"/>
      <c r="JR82" s="233"/>
      <c r="JS82" s="233"/>
      <c r="JT82" s="233"/>
      <c r="JU82" s="233"/>
      <c r="JV82" s="233"/>
      <c r="JW82" s="233"/>
      <c r="JX82" s="233"/>
      <c r="JY82" s="233"/>
      <c r="JZ82" s="233"/>
      <c r="KA82" s="233"/>
      <c r="KB82" s="233"/>
      <c r="KC82" s="233"/>
      <c r="KD82" s="233"/>
      <c r="KE82" s="233"/>
      <c r="KF82" s="233"/>
      <c r="KG82" s="233"/>
      <c r="KH82" s="233"/>
      <c r="KI82" s="233"/>
      <c r="KJ82" s="233"/>
      <c r="KK82" s="233"/>
      <c r="KL82" s="233"/>
      <c r="KM82" s="233"/>
      <c r="KN82" s="233"/>
      <c r="KO82" s="233"/>
      <c r="KP82" s="233"/>
      <c r="KQ82" s="233"/>
      <c r="KR82" s="233"/>
      <c r="KS82" s="233"/>
      <c r="KT82" s="233"/>
      <c r="KU82" s="233"/>
      <c r="KV82" s="233"/>
      <c r="KW82" s="233"/>
      <c r="KX82" s="233"/>
      <c r="KY82" s="233"/>
      <c r="KZ82" s="233"/>
      <c r="LA82" s="233"/>
      <c r="LB82" s="233"/>
      <c r="LC82" s="233"/>
      <c r="LD82" s="233"/>
      <c r="LE82" s="233"/>
      <c r="LF82" s="233"/>
      <c r="LG82" s="233"/>
      <c r="LH82" s="233"/>
      <c r="LI82" s="233"/>
      <c r="LJ82" s="233"/>
      <c r="LK82" s="233"/>
      <c r="LL82" s="233"/>
      <c r="LM82" s="233"/>
      <c r="LN82" s="233"/>
      <c r="LO82" s="233"/>
      <c r="LP82" s="233"/>
      <c r="LQ82" s="233"/>
      <c r="LR82" s="233"/>
      <c r="LS82" s="233"/>
      <c r="LT82" s="233"/>
      <c r="LU82" s="233"/>
      <c r="LV82" s="233"/>
      <c r="LW82" s="233"/>
      <c r="LX82" s="233"/>
      <c r="LY82" s="233"/>
      <c r="LZ82" s="233"/>
      <c r="MA82" s="233"/>
    </row>
    <row r="83" spans="1:339" s="54" customFormat="1" ht="60" customHeight="1" collapsed="1" x14ac:dyDescent="0.25">
      <c r="A83" s="40" t="s">
        <v>1304</v>
      </c>
      <c r="B83" s="40" t="s">
        <v>1482</v>
      </c>
      <c r="C83" s="48" t="s">
        <v>2290</v>
      </c>
      <c r="D83" s="40" t="s">
        <v>1502</v>
      </c>
      <c r="E83" s="160" t="s">
        <v>1485</v>
      </c>
      <c r="F83" s="90" t="s">
        <v>243</v>
      </c>
      <c r="G83" s="34"/>
      <c r="H83" s="161"/>
      <c r="I83" s="15"/>
      <c r="J83" s="17" t="str">
        <f>IF(H83&gt;0,(H83*VLOOKUP(Lookups!$K$11,Lookups!$M$10:$P$43,4,0)/VLOOKUP(I83,Lookups!$M$10:$P$43,4,0)),"")</f>
        <v/>
      </c>
      <c r="K83" s="161">
        <v>150</v>
      </c>
      <c r="L83" s="15" t="s">
        <v>255</v>
      </c>
      <c r="M83" s="17">
        <f>IF(K83&gt;0,(K83*VLOOKUP(Lookups!$K$11,Lookups!$M$10:$P$43,4,0)/VLOOKUP(L83,Lookups!$M$10:$P$43,4,0)),"")</f>
        <v>180.57050756365362</v>
      </c>
      <c r="N83" s="161"/>
      <c r="O83" s="15"/>
      <c r="P83" s="17" t="str">
        <f>IF(N83&gt;0,(N83*VLOOKUP(Lookups!$K$11,Lookups!$M$10:$P$43,4,0)/VLOOKUP(O83,Lookups!$M$10:$P$43,4,0)),"")</f>
        <v/>
      </c>
      <c r="Q83" s="234" t="s">
        <v>1486</v>
      </c>
      <c r="R83" s="15" t="s">
        <v>152</v>
      </c>
      <c r="S83" s="107" t="s">
        <v>2392</v>
      </c>
      <c r="T83" s="15"/>
      <c r="U83" s="90"/>
      <c r="V83" s="233"/>
      <c r="W83" s="233"/>
      <c r="X83" s="233"/>
      <c r="Y83" s="233"/>
      <c r="Z83" s="233"/>
      <c r="AA83" s="233"/>
      <c r="AB83" s="233"/>
      <c r="AC83" s="233"/>
      <c r="AD83" s="233"/>
      <c r="AE83" s="233"/>
      <c r="AF83" s="233"/>
      <c r="AG83" s="233"/>
      <c r="AH83" s="233"/>
      <c r="AI83" s="233"/>
      <c r="AJ83" s="233"/>
      <c r="AK83" s="233"/>
      <c r="AL83" s="233"/>
      <c r="AM83" s="233"/>
      <c r="AN83" s="233"/>
      <c r="AO83" s="233"/>
      <c r="AP83" s="233"/>
      <c r="AQ83" s="233"/>
      <c r="AR83" s="233"/>
      <c r="AS83" s="233"/>
      <c r="AT83" s="233"/>
      <c r="AU83" s="233"/>
      <c r="AV83" s="233"/>
      <c r="AW83" s="233"/>
      <c r="AX83" s="233"/>
      <c r="AY83" s="233"/>
      <c r="AZ83" s="233"/>
      <c r="BA83" s="233"/>
      <c r="BB83" s="233"/>
      <c r="BC83" s="233"/>
      <c r="BD83" s="233"/>
      <c r="BE83" s="233"/>
      <c r="BF83" s="233"/>
      <c r="BG83" s="233"/>
      <c r="BH83" s="233"/>
      <c r="BI83" s="233"/>
      <c r="BJ83" s="233"/>
      <c r="BK83" s="233"/>
      <c r="BL83" s="233"/>
      <c r="BM83" s="233"/>
      <c r="BN83" s="233"/>
      <c r="BO83" s="233"/>
      <c r="BP83" s="233"/>
      <c r="BQ83" s="233"/>
      <c r="BR83" s="233"/>
      <c r="BS83" s="233"/>
      <c r="BT83" s="233"/>
      <c r="BU83" s="233"/>
      <c r="BV83" s="233"/>
      <c r="BW83" s="233"/>
      <c r="BX83" s="233"/>
      <c r="BY83" s="233"/>
      <c r="BZ83" s="233"/>
      <c r="CA83" s="233"/>
      <c r="CB83" s="233"/>
      <c r="CC83" s="233"/>
      <c r="CD83" s="233"/>
      <c r="CE83" s="233"/>
      <c r="CF83" s="233"/>
      <c r="CG83" s="233"/>
      <c r="CH83" s="233"/>
      <c r="CI83" s="233"/>
      <c r="CJ83" s="233"/>
      <c r="CK83" s="233"/>
      <c r="CL83" s="233"/>
      <c r="CM83" s="233"/>
      <c r="CN83" s="233"/>
      <c r="CO83" s="233"/>
      <c r="CP83" s="233"/>
      <c r="CQ83" s="233"/>
      <c r="CR83" s="233"/>
      <c r="CS83" s="233"/>
      <c r="CT83" s="233"/>
      <c r="CU83" s="233"/>
      <c r="CV83" s="233"/>
      <c r="CW83" s="233"/>
      <c r="CX83" s="233"/>
      <c r="CY83" s="233"/>
      <c r="CZ83" s="233"/>
      <c r="DA83" s="233"/>
      <c r="DB83" s="233"/>
      <c r="DC83" s="233"/>
      <c r="DD83" s="233"/>
      <c r="DE83" s="233"/>
      <c r="DF83" s="233"/>
      <c r="DG83" s="233"/>
      <c r="DH83" s="233"/>
      <c r="DI83" s="233"/>
      <c r="DJ83" s="233"/>
      <c r="DK83" s="233"/>
      <c r="DL83" s="233"/>
      <c r="DM83" s="233"/>
      <c r="DN83" s="233"/>
      <c r="DO83" s="233"/>
      <c r="DP83" s="233"/>
      <c r="DQ83" s="233"/>
      <c r="DR83" s="233"/>
      <c r="DS83" s="233"/>
      <c r="DT83" s="233"/>
      <c r="DU83" s="233"/>
      <c r="DV83" s="233"/>
      <c r="DW83" s="233"/>
      <c r="DX83" s="233"/>
      <c r="DY83" s="233"/>
      <c r="DZ83" s="233"/>
      <c r="EA83" s="233"/>
      <c r="EB83" s="233"/>
      <c r="EC83" s="233"/>
      <c r="ED83" s="233"/>
      <c r="EE83" s="233"/>
      <c r="EF83" s="233"/>
      <c r="EG83" s="233"/>
      <c r="EH83" s="233"/>
      <c r="EI83" s="233"/>
      <c r="EJ83" s="233"/>
      <c r="EK83" s="233"/>
      <c r="EL83" s="233"/>
      <c r="EM83" s="233"/>
      <c r="EN83" s="233"/>
      <c r="EO83" s="233"/>
      <c r="EP83" s="233"/>
      <c r="EQ83" s="233"/>
      <c r="ER83" s="233"/>
      <c r="ES83" s="233"/>
      <c r="ET83" s="233"/>
      <c r="EU83" s="233"/>
      <c r="EV83" s="233"/>
      <c r="EW83" s="233"/>
      <c r="EX83" s="233"/>
      <c r="EY83" s="233"/>
      <c r="EZ83" s="233"/>
      <c r="FA83" s="233"/>
      <c r="FB83" s="233"/>
      <c r="FC83" s="233"/>
      <c r="FD83" s="233"/>
      <c r="FE83" s="233"/>
      <c r="FF83" s="233"/>
      <c r="FG83" s="233"/>
      <c r="FH83" s="233"/>
      <c r="FI83" s="233"/>
      <c r="FJ83" s="233"/>
      <c r="FK83" s="233"/>
      <c r="FL83" s="233"/>
      <c r="FM83" s="233"/>
      <c r="FN83" s="233"/>
      <c r="FO83" s="233"/>
      <c r="FP83" s="233"/>
      <c r="FQ83" s="233"/>
      <c r="FR83" s="233"/>
      <c r="FS83" s="233"/>
      <c r="FT83" s="233"/>
      <c r="FU83" s="233"/>
      <c r="FV83" s="233"/>
      <c r="FW83" s="233"/>
      <c r="FX83" s="233"/>
      <c r="FY83" s="233"/>
      <c r="FZ83" s="233"/>
      <c r="GA83" s="233"/>
      <c r="GB83" s="233"/>
      <c r="GC83" s="233"/>
      <c r="GD83" s="233"/>
      <c r="GE83" s="233"/>
      <c r="GF83" s="233"/>
      <c r="GG83" s="233"/>
      <c r="GH83" s="233"/>
      <c r="GI83" s="233"/>
      <c r="GJ83" s="233"/>
      <c r="GK83" s="233"/>
      <c r="GL83" s="233"/>
      <c r="GM83" s="233"/>
      <c r="GN83" s="233"/>
      <c r="GO83" s="233"/>
      <c r="GP83" s="233"/>
      <c r="GQ83" s="233"/>
      <c r="GR83" s="233"/>
      <c r="GS83" s="233"/>
      <c r="GT83" s="233"/>
      <c r="GU83" s="233"/>
      <c r="GV83" s="233"/>
      <c r="GW83" s="233"/>
      <c r="GX83" s="233"/>
      <c r="GY83" s="233"/>
      <c r="GZ83" s="233"/>
      <c r="HA83" s="233"/>
      <c r="HB83" s="233"/>
      <c r="HC83" s="233"/>
      <c r="HD83" s="233"/>
      <c r="HE83" s="233"/>
      <c r="HF83" s="233"/>
      <c r="HG83" s="233"/>
      <c r="HH83" s="233"/>
      <c r="HI83" s="233"/>
      <c r="HJ83" s="233"/>
      <c r="HK83" s="233"/>
      <c r="HL83" s="233"/>
      <c r="HM83" s="233"/>
      <c r="HN83" s="233"/>
      <c r="HO83" s="233"/>
      <c r="HP83" s="233"/>
      <c r="HQ83" s="233"/>
      <c r="HR83" s="233"/>
      <c r="HS83" s="233"/>
      <c r="HT83" s="233"/>
      <c r="HU83" s="233"/>
      <c r="HV83" s="233"/>
      <c r="HW83" s="233"/>
      <c r="HX83" s="233"/>
      <c r="HY83" s="233"/>
      <c r="HZ83" s="233"/>
      <c r="IA83" s="233"/>
      <c r="IB83" s="233"/>
      <c r="IC83" s="233"/>
      <c r="ID83" s="233"/>
      <c r="IE83" s="233"/>
      <c r="IF83" s="233"/>
      <c r="IG83" s="233"/>
      <c r="IH83" s="233"/>
      <c r="II83" s="233"/>
      <c r="IJ83" s="233"/>
      <c r="IK83" s="233"/>
      <c r="IL83" s="233"/>
      <c r="IM83" s="233"/>
      <c r="IN83" s="233"/>
      <c r="IO83" s="233"/>
      <c r="IP83" s="233"/>
      <c r="IQ83" s="233"/>
      <c r="IR83" s="233"/>
      <c r="IS83" s="233"/>
      <c r="IT83" s="233"/>
      <c r="IU83" s="233"/>
      <c r="IV83" s="233"/>
      <c r="IW83" s="233"/>
      <c r="IX83" s="233"/>
      <c r="IY83" s="233"/>
      <c r="IZ83" s="233"/>
      <c r="JA83" s="233"/>
      <c r="JB83" s="233"/>
      <c r="JC83" s="233"/>
      <c r="JD83" s="233"/>
      <c r="JE83" s="233"/>
      <c r="JF83" s="233"/>
      <c r="JG83" s="233"/>
      <c r="JH83" s="233"/>
      <c r="JI83" s="233"/>
      <c r="JJ83" s="233"/>
      <c r="JK83" s="233"/>
      <c r="JL83" s="233"/>
      <c r="JM83" s="233"/>
      <c r="JN83" s="233"/>
      <c r="JO83" s="233"/>
      <c r="JP83" s="233"/>
      <c r="JQ83" s="233"/>
      <c r="JR83" s="233"/>
      <c r="JS83" s="233"/>
      <c r="JT83" s="233"/>
      <c r="JU83" s="233"/>
      <c r="JV83" s="233"/>
      <c r="JW83" s="233"/>
      <c r="JX83" s="233"/>
      <c r="JY83" s="233"/>
      <c r="JZ83" s="233"/>
      <c r="KA83" s="233"/>
      <c r="KB83" s="233"/>
      <c r="KC83" s="233"/>
      <c r="KD83" s="233"/>
      <c r="KE83" s="233"/>
      <c r="KF83" s="233"/>
      <c r="KG83" s="233"/>
      <c r="KH83" s="233"/>
      <c r="KI83" s="233"/>
      <c r="KJ83" s="233"/>
      <c r="KK83" s="233"/>
      <c r="KL83" s="233"/>
      <c r="KM83" s="233"/>
      <c r="KN83" s="233"/>
      <c r="KO83" s="233"/>
      <c r="KP83" s="233"/>
      <c r="KQ83" s="233"/>
      <c r="KR83" s="233"/>
      <c r="KS83" s="233"/>
      <c r="KT83" s="233"/>
      <c r="KU83" s="233"/>
      <c r="KV83" s="233"/>
      <c r="KW83" s="233"/>
      <c r="KX83" s="233"/>
      <c r="KY83" s="233"/>
      <c r="KZ83" s="233"/>
      <c r="LA83" s="233"/>
      <c r="LB83" s="233"/>
      <c r="LC83" s="233"/>
      <c r="LD83" s="233"/>
      <c r="LE83" s="233"/>
      <c r="LF83" s="233"/>
      <c r="LG83" s="233"/>
      <c r="LH83" s="233"/>
      <c r="LI83" s="233"/>
      <c r="LJ83" s="233"/>
      <c r="LK83" s="233"/>
      <c r="LL83" s="233"/>
      <c r="LM83" s="233"/>
      <c r="LN83" s="233"/>
      <c r="LO83" s="233"/>
      <c r="LP83" s="233"/>
      <c r="LQ83" s="233"/>
      <c r="LR83" s="233"/>
      <c r="LS83" s="233"/>
      <c r="LT83" s="233"/>
      <c r="LU83" s="233"/>
      <c r="LV83" s="233"/>
      <c r="LW83" s="233"/>
      <c r="LX83" s="233"/>
      <c r="LY83" s="233"/>
      <c r="LZ83" s="233"/>
      <c r="MA83" s="233"/>
    </row>
    <row r="84" spans="1:339" s="54" customFormat="1" ht="60" hidden="1" customHeight="1" outlineLevel="1" x14ac:dyDescent="0.25">
      <c r="A84" s="50" t="s">
        <v>1304</v>
      </c>
      <c r="B84" s="50" t="s">
        <v>1482</v>
      </c>
      <c r="C84" s="50" t="s">
        <v>3137</v>
      </c>
      <c r="D84" s="50" t="s">
        <v>1503</v>
      </c>
      <c r="E84" s="160" t="s">
        <v>1485</v>
      </c>
      <c r="F84" s="90" t="s">
        <v>243</v>
      </c>
      <c r="G84" s="34"/>
      <c r="H84" s="161"/>
      <c r="I84" s="15"/>
      <c r="J84" s="17" t="str">
        <f>IF(H84&gt;0,(H84*VLOOKUP(Lookups!$K$11,Lookups!$M$10:$P$43,4,0)/VLOOKUP(I84,Lookups!$M$10:$P$43,4,0)),"")</f>
        <v/>
      </c>
      <c r="K84" s="169">
        <v>0.6</v>
      </c>
      <c r="L84" s="15" t="s">
        <v>255</v>
      </c>
      <c r="M84" s="169">
        <f>IF(K84&gt;0,(K84*VLOOKUP(Lookups!$K$11,Lookups!$M$10:$P$43,4,0)/VLOOKUP(L84,Lookups!$M$10:$P$43,4,0)),"")</f>
        <v>0.72228203025461446</v>
      </c>
      <c r="N84" s="170"/>
      <c r="O84" s="15"/>
      <c r="P84" s="17" t="str">
        <f>IF(N84&gt;0,(N84*VLOOKUP(Lookups!$K$11,Lookups!$M$10:$P$43,4,0)/VLOOKUP(O84,Lookups!$M$10:$P$43,4,0)),"")</f>
        <v/>
      </c>
      <c r="Q84" s="234" t="s">
        <v>1486</v>
      </c>
      <c r="R84" s="15" t="s">
        <v>152</v>
      </c>
      <c r="S84" s="107" t="s">
        <v>2393</v>
      </c>
      <c r="T84" s="15"/>
      <c r="U84" s="90"/>
      <c r="V84" s="233"/>
      <c r="W84" s="233"/>
      <c r="X84" s="233"/>
      <c r="Y84" s="233"/>
      <c r="Z84" s="233"/>
      <c r="AA84" s="233"/>
      <c r="AB84" s="233"/>
      <c r="AC84" s="233"/>
      <c r="AD84" s="233"/>
      <c r="AE84" s="233"/>
      <c r="AF84" s="233"/>
      <c r="AG84" s="233"/>
      <c r="AH84" s="233"/>
      <c r="AI84" s="233"/>
      <c r="AJ84" s="233"/>
      <c r="AK84" s="233"/>
      <c r="AL84" s="233"/>
      <c r="AM84" s="233"/>
      <c r="AN84" s="233"/>
      <c r="AO84" s="233"/>
      <c r="AP84" s="233"/>
      <c r="AQ84" s="233"/>
      <c r="AR84" s="233"/>
      <c r="AS84" s="233"/>
      <c r="AT84" s="233"/>
      <c r="AU84" s="233"/>
      <c r="AV84" s="233"/>
      <c r="AW84" s="233"/>
      <c r="AX84" s="233"/>
      <c r="AY84" s="233"/>
      <c r="AZ84" s="233"/>
      <c r="BA84" s="233"/>
      <c r="BB84" s="233"/>
      <c r="BC84" s="233"/>
      <c r="BD84" s="233"/>
      <c r="BE84" s="233"/>
      <c r="BF84" s="233"/>
      <c r="BG84" s="233"/>
      <c r="BH84" s="233"/>
      <c r="BI84" s="233"/>
      <c r="BJ84" s="233"/>
      <c r="BK84" s="233"/>
      <c r="BL84" s="233"/>
      <c r="BM84" s="233"/>
      <c r="BN84" s="233"/>
      <c r="BO84" s="233"/>
      <c r="BP84" s="233"/>
      <c r="BQ84" s="233"/>
      <c r="BR84" s="233"/>
      <c r="BS84" s="233"/>
      <c r="BT84" s="233"/>
      <c r="BU84" s="233"/>
      <c r="BV84" s="233"/>
      <c r="BW84" s="233"/>
      <c r="BX84" s="233"/>
      <c r="BY84" s="233"/>
      <c r="BZ84" s="233"/>
      <c r="CA84" s="233"/>
      <c r="CB84" s="233"/>
      <c r="CC84" s="233"/>
      <c r="CD84" s="233"/>
      <c r="CE84" s="233"/>
      <c r="CF84" s="233"/>
      <c r="CG84" s="233"/>
      <c r="CH84" s="233"/>
      <c r="CI84" s="233"/>
      <c r="CJ84" s="233"/>
      <c r="CK84" s="233"/>
      <c r="CL84" s="233"/>
      <c r="CM84" s="233"/>
      <c r="CN84" s="233"/>
      <c r="CO84" s="233"/>
      <c r="CP84" s="233"/>
      <c r="CQ84" s="233"/>
      <c r="CR84" s="233"/>
      <c r="CS84" s="233"/>
      <c r="CT84" s="233"/>
      <c r="CU84" s="233"/>
      <c r="CV84" s="233"/>
      <c r="CW84" s="233"/>
      <c r="CX84" s="233"/>
      <c r="CY84" s="233"/>
      <c r="CZ84" s="233"/>
      <c r="DA84" s="233"/>
      <c r="DB84" s="233"/>
      <c r="DC84" s="233"/>
      <c r="DD84" s="233"/>
      <c r="DE84" s="233"/>
      <c r="DF84" s="233"/>
      <c r="DG84" s="233"/>
      <c r="DH84" s="233"/>
      <c r="DI84" s="233"/>
      <c r="DJ84" s="233"/>
      <c r="DK84" s="233"/>
      <c r="DL84" s="233"/>
      <c r="DM84" s="233"/>
      <c r="DN84" s="233"/>
      <c r="DO84" s="233"/>
      <c r="DP84" s="233"/>
      <c r="DQ84" s="233"/>
      <c r="DR84" s="233"/>
      <c r="DS84" s="233"/>
      <c r="DT84" s="233"/>
      <c r="DU84" s="233"/>
      <c r="DV84" s="233"/>
      <c r="DW84" s="233"/>
      <c r="DX84" s="233"/>
      <c r="DY84" s="233"/>
      <c r="DZ84" s="233"/>
      <c r="EA84" s="233"/>
      <c r="EB84" s="233"/>
      <c r="EC84" s="233"/>
      <c r="ED84" s="233"/>
      <c r="EE84" s="233"/>
      <c r="EF84" s="233"/>
      <c r="EG84" s="233"/>
      <c r="EH84" s="233"/>
      <c r="EI84" s="233"/>
      <c r="EJ84" s="233"/>
      <c r="EK84" s="233"/>
      <c r="EL84" s="233"/>
      <c r="EM84" s="233"/>
      <c r="EN84" s="233"/>
      <c r="EO84" s="233"/>
      <c r="EP84" s="233"/>
      <c r="EQ84" s="233"/>
      <c r="ER84" s="233"/>
      <c r="ES84" s="233"/>
      <c r="ET84" s="233"/>
      <c r="EU84" s="233"/>
      <c r="EV84" s="233"/>
      <c r="EW84" s="233"/>
      <c r="EX84" s="233"/>
      <c r="EY84" s="233"/>
      <c r="EZ84" s="233"/>
      <c r="FA84" s="233"/>
      <c r="FB84" s="233"/>
      <c r="FC84" s="233"/>
      <c r="FD84" s="233"/>
      <c r="FE84" s="233"/>
      <c r="FF84" s="233"/>
      <c r="FG84" s="233"/>
      <c r="FH84" s="233"/>
      <c r="FI84" s="233"/>
      <c r="FJ84" s="233"/>
      <c r="FK84" s="233"/>
      <c r="FL84" s="233"/>
      <c r="FM84" s="233"/>
      <c r="FN84" s="233"/>
      <c r="FO84" s="233"/>
      <c r="FP84" s="233"/>
      <c r="FQ84" s="233"/>
      <c r="FR84" s="233"/>
      <c r="FS84" s="233"/>
      <c r="FT84" s="233"/>
      <c r="FU84" s="233"/>
      <c r="FV84" s="233"/>
      <c r="FW84" s="233"/>
      <c r="FX84" s="233"/>
      <c r="FY84" s="233"/>
      <c r="FZ84" s="233"/>
      <c r="GA84" s="233"/>
      <c r="GB84" s="233"/>
      <c r="GC84" s="233"/>
      <c r="GD84" s="233"/>
      <c r="GE84" s="233"/>
      <c r="GF84" s="233"/>
      <c r="GG84" s="233"/>
      <c r="GH84" s="233"/>
      <c r="GI84" s="233"/>
      <c r="GJ84" s="233"/>
      <c r="GK84" s="233"/>
      <c r="GL84" s="233"/>
      <c r="GM84" s="233"/>
      <c r="GN84" s="233"/>
      <c r="GO84" s="233"/>
      <c r="GP84" s="233"/>
      <c r="GQ84" s="233"/>
      <c r="GR84" s="233"/>
      <c r="GS84" s="233"/>
      <c r="GT84" s="233"/>
      <c r="GU84" s="233"/>
      <c r="GV84" s="233"/>
      <c r="GW84" s="233"/>
      <c r="GX84" s="233"/>
      <c r="GY84" s="233"/>
      <c r="GZ84" s="233"/>
      <c r="HA84" s="233"/>
      <c r="HB84" s="233"/>
      <c r="HC84" s="233"/>
      <c r="HD84" s="233"/>
      <c r="HE84" s="233"/>
      <c r="HF84" s="233"/>
      <c r="HG84" s="233"/>
      <c r="HH84" s="233"/>
      <c r="HI84" s="233"/>
      <c r="HJ84" s="233"/>
      <c r="HK84" s="233"/>
      <c r="HL84" s="233"/>
      <c r="HM84" s="233"/>
      <c r="HN84" s="233"/>
      <c r="HO84" s="233"/>
      <c r="HP84" s="233"/>
      <c r="HQ84" s="233"/>
      <c r="HR84" s="233"/>
      <c r="HS84" s="233"/>
      <c r="HT84" s="233"/>
      <c r="HU84" s="233"/>
      <c r="HV84" s="233"/>
      <c r="HW84" s="233"/>
      <c r="HX84" s="233"/>
      <c r="HY84" s="233"/>
      <c r="HZ84" s="233"/>
      <c r="IA84" s="233"/>
      <c r="IB84" s="233"/>
      <c r="IC84" s="233"/>
      <c r="ID84" s="233"/>
      <c r="IE84" s="233"/>
      <c r="IF84" s="233"/>
      <c r="IG84" s="233"/>
      <c r="IH84" s="233"/>
      <c r="II84" s="233"/>
      <c r="IJ84" s="233"/>
      <c r="IK84" s="233"/>
      <c r="IL84" s="233"/>
      <c r="IM84" s="233"/>
      <c r="IN84" s="233"/>
      <c r="IO84" s="233"/>
      <c r="IP84" s="233"/>
      <c r="IQ84" s="233"/>
      <c r="IR84" s="233"/>
      <c r="IS84" s="233"/>
      <c r="IT84" s="233"/>
      <c r="IU84" s="233"/>
      <c r="IV84" s="233"/>
      <c r="IW84" s="233"/>
      <c r="IX84" s="233"/>
      <c r="IY84" s="233"/>
      <c r="IZ84" s="233"/>
      <c r="JA84" s="233"/>
      <c r="JB84" s="233"/>
      <c r="JC84" s="233"/>
      <c r="JD84" s="233"/>
      <c r="JE84" s="233"/>
      <c r="JF84" s="233"/>
      <c r="JG84" s="233"/>
      <c r="JH84" s="233"/>
      <c r="JI84" s="233"/>
      <c r="JJ84" s="233"/>
      <c r="JK84" s="233"/>
      <c r="JL84" s="233"/>
      <c r="JM84" s="233"/>
      <c r="JN84" s="233"/>
      <c r="JO84" s="233"/>
      <c r="JP84" s="233"/>
      <c r="JQ84" s="233"/>
      <c r="JR84" s="233"/>
      <c r="JS84" s="233"/>
      <c r="JT84" s="233"/>
      <c r="JU84" s="233"/>
      <c r="JV84" s="233"/>
      <c r="JW84" s="233"/>
      <c r="JX84" s="233"/>
      <c r="JY84" s="233"/>
      <c r="JZ84" s="233"/>
      <c r="KA84" s="233"/>
      <c r="KB84" s="233"/>
      <c r="KC84" s="233"/>
      <c r="KD84" s="233"/>
      <c r="KE84" s="233"/>
      <c r="KF84" s="233"/>
      <c r="KG84" s="233"/>
      <c r="KH84" s="233"/>
      <c r="KI84" s="233"/>
      <c r="KJ84" s="233"/>
      <c r="KK84" s="233"/>
      <c r="KL84" s="233"/>
      <c r="KM84" s="233"/>
      <c r="KN84" s="233"/>
      <c r="KO84" s="233"/>
      <c r="KP84" s="233"/>
      <c r="KQ84" s="233"/>
      <c r="KR84" s="233"/>
      <c r="KS84" s="233"/>
      <c r="KT84" s="233"/>
      <c r="KU84" s="233"/>
      <c r="KV84" s="233"/>
      <c r="KW84" s="233"/>
      <c r="KX84" s="233"/>
      <c r="KY84" s="233"/>
      <c r="KZ84" s="233"/>
      <c r="LA84" s="233"/>
      <c r="LB84" s="233"/>
      <c r="LC84" s="233"/>
      <c r="LD84" s="233"/>
      <c r="LE84" s="233"/>
      <c r="LF84" s="233"/>
      <c r="LG84" s="233"/>
      <c r="LH84" s="233"/>
      <c r="LI84" s="233"/>
      <c r="LJ84" s="233"/>
      <c r="LK84" s="233"/>
      <c r="LL84" s="233"/>
      <c r="LM84" s="233"/>
      <c r="LN84" s="233"/>
      <c r="LO84" s="233"/>
      <c r="LP84" s="233"/>
      <c r="LQ84" s="233"/>
      <c r="LR84" s="233"/>
      <c r="LS84" s="233"/>
      <c r="LT84" s="233"/>
      <c r="LU84" s="233"/>
      <c r="LV84" s="233"/>
      <c r="LW84" s="233"/>
      <c r="LX84" s="233"/>
      <c r="LY84" s="233"/>
      <c r="LZ84" s="233"/>
      <c r="MA84" s="233"/>
    </row>
    <row r="85" spans="1:339" s="54" customFormat="1" ht="60" hidden="1" customHeight="1" outlineLevel="1" x14ac:dyDescent="0.25">
      <c r="A85" s="50" t="s">
        <v>1304</v>
      </c>
      <c r="B85" s="50" t="s">
        <v>1482</v>
      </c>
      <c r="C85" s="50" t="s">
        <v>3138</v>
      </c>
      <c r="D85" s="50" t="s">
        <v>1505</v>
      </c>
      <c r="E85" s="160" t="s">
        <v>1485</v>
      </c>
      <c r="F85" s="90" t="s">
        <v>243</v>
      </c>
      <c r="G85" s="34"/>
      <c r="H85" s="161"/>
      <c r="I85" s="15"/>
      <c r="J85" s="17" t="str">
        <f>IF(H85&gt;0,(H85*VLOOKUP(Lookups!$K$11,Lookups!$M$10:$P$43,4,0)/VLOOKUP(I85,Lookups!$M$10:$P$43,4,0)),"")</f>
        <v/>
      </c>
      <c r="K85" s="161">
        <v>14</v>
      </c>
      <c r="L85" s="15" t="s">
        <v>255</v>
      </c>
      <c r="M85" s="17">
        <f>IF(K85&gt;0,(K85*VLOOKUP(Lookups!$K$11,Lookups!$M$10:$P$43,4,0)/VLOOKUP(L85,Lookups!$M$10:$P$43,4,0)),"")</f>
        <v>16.853247372607672</v>
      </c>
      <c r="N85" s="161"/>
      <c r="O85" s="15"/>
      <c r="P85" s="17" t="str">
        <f>IF(N85&gt;0,(N85*VLOOKUP(Lookups!$K$11,Lookups!$M$10:$P$43,4,0)/VLOOKUP(O85,Lookups!$M$10:$P$43,4,0)),"")</f>
        <v/>
      </c>
      <c r="Q85" s="234" t="s">
        <v>1486</v>
      </c>
      <c r="R85" s="15" t="s">
        <v>152</v>
      </c>
      <c r="S85" s="107" t="s">
        <v>2394</v>
      </c>
      <c r="T85" s="15"/>
      <c r="U85" s="90"/>
      <c r="V85" s="233"/>
      <c r="W85" s="233"/>
      <c r="X85" s="233"/>
      <c r="Y85" s="233"/>
      <c r="Z85" s="233"/>
      <c r="AA85" s="233"/>
      <c r="AB85" s="233"/>
      <c r="AC85" s="233"/>
      <c r="AD85" s="233"/>
      <c r="AE85" s="233"/>
      <c r="AF85" s="233"/>
      <c r="AG85" s="233"/>
      <c r="AH85" s="233"/>
      <c r="AI85" s="233"/>
      <c r="AJ85" s="233"/>
      <c r="AK85" s="233"/>
      <c r="AL85" s="233"/>
      <c r="AM85" s="233"/>
      <c r="AN85" s="233"/>
      <c r="AO85" s="233"/>
      <c r="AP85" s="233"/>
      <c r="AQ85" s="233"/>
      <c r="AR85" s="233"/>
      <c r="AS85" s="233"/>
      <c r="AT85" s="233"/>
      <c r="AU85" s="233"/>
      <c r="AV85" s="233"/>
      <c r="AW85" s="233"/>
      <c r="AX85" s="233"/>
      <c r="AY85" s="233"/>
      <c r="AZ85" s="233"/>
      <c r="BA85" s="233"/>
      <c r="BB85" s="233"/>
      <c r="BC85" s="233"/>
      <c r="BD85" s="233"/>
      <c r="BE85" s="233"/>
      <c r="BF85" s="233"/>
      <c r="BG85" s="233"/>
      <c r="BH85" s="233"/>
      <c r="BI85" s="233"/>
      <c r="BJ85" s="233"/>
      <c r="BK85" s="233"/>
      <c r="BL85" s="233"/>
      <c r="BM85" s="233"/>
      <c r="BN85" s="233"/>
      <c r="BO85" s="233"/>
      <c r="BP85" s="233"/>
      <c r="BQ85" s="233"/>
      <c r="BR85" s="233"/>
      <c r="BS85" s="233"/>
      <c r="BT85" s="233"/>
      <c r="BU85" s="233"/>
      <c r="BV85" s="233"/>
      <c r="BW85" s="233"/>
      <c r="BX85" s="233"/>
      <c r="BY85" s="233"/>
      <c r="BZ85" s="233"/>
      <c r="CA85" s="233"/>
      <c r="CB85" s="233"/>
      <c r="CC85" s="233"/>
      <c r="CD85" s="233"/>
      <c r="CE85" s="233"/>
      <c r="CF85" s="233"/>
      <c r="CG85" s="233"/>
      <c r="CH85" s="233"/>
      <c r="CI85" s="233"/>
      <c r="CJ85" s="233"/>
      <c r="CK85" s="233"/>
      <c r="CL85" s="233"/>
      <c r="CM85" s="233"/>
      <c r="CN85" s="233"/>
      <c r="CO85" s="233"/>
      <c r="CP85" s="233"/>
      <c r="CQ85" s="233"/>
      <c r="CR85" s="233"/>
      <c r="CS85" s="233"/>
      <c r="CT85" s="233"/>
      <c r="CU85" s="233"/>
      <c r="CV85" s="233"/>
      <c r="CW85" s="233"/>
      <c r="CX85" s="233"/>
      <c r="CY85" s="233"/>
      <c r="CZ85" s="233"/>
      <c r="DA85" s="233"/>
      <c r="DB85" s="233"/>
      <c r="DC85" s="233"/>
      <c r="DD85" s="233"/>
      <c r="DE85" s="233"/>
      <c r="DF85" s="233"/>
      <c r="DG85" s="233"/>
      <c r="DH85" s="233"/>
      <c r="DI85" s="233"/>
      <c r="DJ85" s="233"/>
      <c r="DK85" s="233"/>
      <c r="DL85" s="233"/>
      <c r="DM85" s="233"/>
      <c r="DN85" s="233"/>
      <c r="DO85" s="233"/>
      <c r="DP85" s="233"/>
      <c r="DQ85" s="233"/>
      <c r="DR85" s="233"/>
      <c r="DS85" s="233"/>
      <c r="DT85" s="233"/>
      <c r="DU85" s="233"/>
      <c r="DV85" s="233"/>
      <c r="DW85" s="233"/>
      <c r="DX85" s="233"/>
      <c r="DY85" s="233"/>
      <c r="DZ85" s="233"/>
      <c r="EA85" s="233"/>
      <c r="EB85" s="233"/>
      <c r="EC85" s="233"/>
      <c r="ED85" s="233"/>
      <c r="EE85" s="233"/>
      <c r="EF85" s="233"/>
      <c r="EG85" s="233"/>
      <c r="EH85" s="233"/>
      <c r="EI85" s="233"/>
      <c r="EJ85" s="233"/>
      <c r="EK85" s="233"/>
      <c r="EL85" s="233"/>
      <c r="EM85" s="233"/>
      <c r="EN85" s="233"/>
      <c r="EO85" s="233"/>
      <c r="EP85" s="233"/>
      <c r="EQ85" s="233"/>
      <c r="ER85" s="233"/>
      <c r="ES85" s="233"/>
      <c r="ET85" s="233"/>
      <c r="EU85" s="233"/>
      <c r="EV85" s="233"/>
      <c r="EW85" s="233"/>
      <c r="EX85" s="233"/>
      <c r="EY85" s="233"/>
      <c r="EZ85" s="233"/>
      <c r="FA85" s="233"/>
      <c r="FB85" s="233"/>
      <c r="FC85" s="233"/>
      <c r="FD85" s="233"/>
      <c r="FE85" s="233"/>
      <c r="FF85" s="233"/>
      <c r="FG85" s="233"/>
      <c r="FH85" s="233"/>
      <c r="FI85" s="233"/>
      <c r="FJ85" s="233"/>
      <c r="FK85" s="233"/>
      <c r="FL85" s="233"/>
      <c r="FM85" s="233"/>
      <c r="FN85" s="233"/>
      <c r="FO85" s="233"/>
      <c r="FP85" s="233"/>
      <c r="FQ85" s="233"/>
      <c r="FR85" s="233"/>
      <c r="FS85" s="233"/>
      <c r="FT85" s="233"/>
      <c r="FU85" s="233"/>
      <c r="FV85" s="233"/>
      <c r="FW85" s="233"/>
      <c r="FX85" s="233"/>
      <c r="FY85" s="233"/>
      <c r="FZ85" s="233"/>
      <c r="GA85" s="233"/>
      <c r="GB85" s="233"/>
      <c r="GC85" s="233"/>
      <c r="GD85" s="233"/>
      <c r="GE85" s="233"/>
      <c r="GF85" s="233"/>
      <c r="GG85" s="233"/>
      <c r="GH85" s="233"/>
      <c r="GI85" s="233"/>
      <c r="GJ85" s="233"/>
      <c r="GK85" s="233"/>
      <c r="GL85" s="233"/>
      <c r="GM85" s="233"/>
      <c r="GN85" s="233"/>
      <c r="GO85" s="233"/>
      <c r="GP85" s="233"/>
      <c r="GQ85" s="233"/>
      <c r="GR85" s="233"/>
      <c r="GS85" s="233"/>
      <c r="GT85" s="233"/>
      <c r="GU85" s="233"/>
      <c r="GV85" s="233"/>
      <c r="GW85" s="233"/>
      <c r="GX85" s="233"/>
      <c r="GY85" s="233"/>
      <c r="GZ85" s="233"/>
      <c r="HA85" s="233"/>
      <c r="HB85" s="233"/>
      <c r="HC85" s="233"/>
      <c r="HD85" s="233"/>
      <c r="HE85" s="233"/>
      <c r="HF85" s="233"/>
      <c r="HG85" s="233"/>
      <c r="HH85" s="233"/>
      <c r="HI85" s="233"/>
      <c r="HJ85" s="233"/>
      <c r="HK85" s="233"/>
      <c r="HL85" s="233"/>
      <c r="HM85" s="233"/>
      <c r="HN85" s="233"/>
      <c r="HO85" s="233"/>
      <c r="HP85" s="233"/>
      <c r="HQ85" s="233"/>
      <c r="HR85" s="233"/>
      <c r="HS85" s="233"/>
      <c r="HT85" s="233"/>
      <c r="HU85" s="233"/>
      <c r="HV85" s="233"/>
      <c r="HW85" s="233"/>
      <c r="HX85" s="233"/>
      <c r="HY85" s="233"/>
      <c r="HZ85" s="233"/>
      <c r="IA85" s="233"/>
      <c r="IB85" s="233"/>
      <c r="IC85" s="233"/>
      <c r="ID85" s="233"/>
      <c r="IE85" s="233"/>
      <c r="IF85" s="233"/>
      <c r="IG85" s="233"/>
      <c r="IH85" s="233"/>
      <c r="II85" s="233"/>
      <c r="IJ85" s="233"/>
      <c r="IK85" s="233"/>
      <c r="IL85" s="233"/>
      <c r="IM85" s="233"/>
      <c r="IN85" s="233"/>
      <c r="IO85" s="233"/>
      <c r="IP85" s="233"/>
      <c r="IQ85" s="233"/>
      <c r="IR85" s="233"/>
      <c r="IS85" s="233"/>
      <c r="IT85" s="233"/>
      <c r="IU85" s="233"/>
      <c r="IV85" s="233"/>
      <c r="IW85" s="233"/>
      <c r="IX85" s="233"/>
      <c r="IY85" s="233"/>
      <c r="IZ85" s="233"/>
      <c r="JA85" s="233"/>
      <c r="JB85" s="233"/>
      <c r="JC85" s="233"/>
      <c r="JD85" s="233"/>
      <c r="JE85" s="233"/>
      <c r="JF85" s="233"/>
      <c r="JG85" s="233"/>
      <c r="JH85" s="233"/>
      <c r="JI85" s="233"/>
      <c r="JJ85" s="233"/>
      <c r="JK85" s="233"/>
      <c r="JL85" s="233"/>
      <c r="JM85" s="233"/>
      <c r="JN85" s="233"/>
      <c r="JO85" s="233"/>
      <c r="JP85" s="233"/>
      <c r="JQ85" s="233"/>
      <c r="JR85" s="233"/>
      <c r="JS85" s="233"/>
      <c r="JT85" s="233"/>
      <c r="JU85" s="233"/>
      <c r="JV85" s="233"/>
      <c r="JW85" s="233"/>
      <c r="JX85" s="233"/>
      <c r="JY85" s="233"/>
      <c r="JZ85" s="233"/>
      <c r="KA85" s="233"/>
      <c r="KB85" s="233"/>
      <c r="KC85" s="233"/>
      <c r="KD85" s="233"/>
      <c r="KE85" s="233"/>
      <c r="KF85" s="233"/>
      <c r="KG85" s="233"/>
      <c r="KH85" s="233"/>
      <c r="KI85" s="233"/>
      <c r="KJ85" s="233"/>
      <c r="KK85" s="233"/>
      <c r="KL85" s="233"/>
      <c r="KM85" s="233"/>
      <c r="KN85" s="233"/>
      <c r="KO85" s="233"/>
      <c r="KP85" s="233"/>
      <c r="KQ85" s="233"/>
      <c r="KR85" s="233"/>
      <c r="KS85" s="233"/>
      <c r="KT85" s="233"/>
      <c r="KU85" s="233"/>
      <c r="KV85" s="233"/>
      <c r="KW85" s="233"/>
      <c r="KX85" s="233"/>
      <c r="KY85" s="233"/>
      <c r="KZ85" s="233"/>
      <c r="LA85" s="233"/>
      <c r="LB85" s="233"/>
      <c r="LC85" s="233"/>
      <c r="LD85" s="233"/>
      <c r="LE85" s="233"/>
      <c r="LF85" s="233"/>
      <c r="LG85" s="233"/>
      <c r="LH85" s="233"/>
      <c r="LI85" s="233"/>
      <c r="LJ85" s="233"/>
      <c r="LK85" s="233"/>
      <c r="LL85" s="233"/>
      <c r="LM85" s="233"/>
      <c r="LN85" s="233"/>
      <c r="LO85" s="233"/>
      <c r="LP85" s="233"/>
      <c r="LQ85" s="233"/>
      <c r="LR85" s="233"/>
      <c r="LS85" s="233"/>
      <c r="LT85" s="233"/>
      <c r="LU85" s="233"/>
      <c r="LV85" s="233"/>
      <c r="LW85" s="233"/>
      <c r="LX85" s="233"/>
      <c r="LY85" s="233"/>
      <c r="LZ85" s="233"/>
      <c r="MA85" s="233"/>
    </row>
    <row r="86" spans="1:339" s="54" customFormat="1" ht="60" hidden="1" customHeight="1" outlineLevel="1" x14ac:dyDescent="0.25">
      <c r="A86" s="50" t="s">
        <v>1304</v>
      </c>
      <c r="B86" s="50" t="s">
        <v>1482</v>
      </c>
      <c r="C86" s="50" t="s">
        <v>3139</v>
      </c>
      <c r="D86" s="50" t="s">
        <v>1504</v>
      </c>
      <c r="E86" s="160" t="s">
        <v>1485</v>
      </c>
      <c r="F86" s="90" t="s">
        <v>243</v>
      </c>
      <c r="G86" s="34"/>
      <c r="H86" s="161"/>
      <c r="I86" s="15"/>
      <c r="J86" s="17" t="str">
        <f>IF(H86&gt;0,(H86*VLOOKUP(Lookups!$K$11,Lookups!$M$10:$P$43,4,0)/VLOOKUP(I86,Lookups!$M$10:$P$43,4,0)),"")</f>
        <v/>
      </c>
      <c r="K86" s="161">
        <v>25</v>
      </c>
      <c r="L86" s="15" t="s">
        <v>255</v>
      </c>
      <c r="M86" s="17">
        <f>IF(K86&gt;0,(K86*VLOOKUP(Lookups!$K$11,Lookups!$M$10:$P$43,4,0)/VLOOKUP(L86,Lookups!$M$10:$P$43,4,0)),"")</f>
        <v>30.095084593942271</v>
      </c>
      <c r="N86" s="161"/>
      <c r="O86" s="15"/>
      <c r="P86" s="17" t="str">
        <f>IF(N86&gt;0,(N86*VLOOKUP(Lookups!$K$11,Lookups!$M$10:$P$43,4,0)/VLOOKUP(O86,Lookups!$M$10:$P$43,4,0)),"")</f>
        <v/>
      </c>
      <c r="Q86" s="234" t="s">
        <v>1486</v>
      </c>
      <c r="R86" s="15" t="s">
        <v>152</v>
      </c>
      <c r="S86" s="107" t="s">
        <v>2395</v>
      </c>
      <c r="T86" s="15"/>
      <c r="U86" s="90"/>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33"/>
      <c r="BA86" s="233"/>
      <c r="BB86" s="233"/>
      <c r="BC86" s="233"/>
      <c r="BD86" s="233"/>
      <c r="BE86" s="233"/>
      <c r="BF86" s="233"/>
      <c r="BG86" s="233"/>
      <c r="BH86" s="233"/>
      <c r="BI86" s="233"/>
      <c r="BJ86" s="233"/>
      <c r="BK86" s="233"/>
      <c r="BL86" s="233"/>
      <c r="BM86" s="233"/>
      <c r="BN86" s="233"/>
      <c r="BO86" s="233"/>
      <c r="BP86" s="233"/>
      <c r="BQ86" s="233"/>
      <c r="BR86" s="233"/>
      <c r="BS86" s="233"/>
      <c r="BT86" s="233"/>
      <c r="BU86" s="233"/>
      <c r="BV86" s="233"/>
      <c r="BW86" s="233"/>
      <c r="BX86" s="233"/>
      <c r="BY86" s="233"/>
      <c r="BZ86" s="233"/>
      <c r="CA86" s="233"/>
      <c r="CB86" s="233"/>
      <c r="CC86" s="233"/>
      <c r="CD86" s="233"/>
      <c r="CE86" s="233"/>
      <c r="CF86" s="233"/>
      <c r="CG86" s="233"/>
      <c r="CH86" s="233"/>
      <c r="CI86" s="233"/>
      <c r="CJ86" s="233"/>
      <c r="CK86" s="233"/>
      <c r="CL86" s="233"/>
      <c r="CM86" s="233"/>
      <c r="CN86" s="233"/>
      <c r="CO86" s="233"/>
      <c r="CP86" s="233"/>
      <c r="CQ86" s="233"/>
      <c r="CR86" s="233"/>
      <c r="CS86" s="233"/>
      <c r="CT86" s="233"/>
      <c r="CU86" s="233"/>
      <c r="CV86" s="233"/>
      <c r="CW86" s="233"/>
      <c r="CX86" s="233"/>
      <c r="CY86" s="233"/>
      <c r="CZ86" s="233"/>
      <c r="DA86" s="233"/>
      <c r="DB86" s="233"/>
      <c r="DC86" s="233"/>
      <c r="DD86" s="233"/>
      <c r="DE86" s="233"/>
      <c r="DF86" s="233"/>
      <c r="DG86" s="233"/>
      <c r="DH86" s="233"/>
      <c r="DI86" s="233"/>
      <c r="DJ86" s="233"/>
      <c r="DK86" s="233"/>
      <c r="DL86" s="233"/>
      <c r="DM86" s="233"/>
      <c r="DN86" s="233"/>
      <c r="DO86" s="233"/>
      <c r="DP86" s="233"/>
      <c r="DQ86" s="233"/>
      <c r="DR86" s="233"/>
      <c r="DS86" s="233"/>
      <c r="DT86" s="233"/>
      <c r="DU86" s="233"/>
      <c r="DV86" s="233"/>
      <c r="DW86" s="233"/>
      <c r="DX86" s="233"/>
      <c r="DY86" s="233"/>
      <c r="DZ86" s="233"/>
      <c r="EA86" s="233"/>
      <c r="EB86" s="233"/>
      <c r="EC86" s="233"/>
      <c r="ED86" s="233"/>
      <c r="EE86" s="233"/>
      <c r="EF86" s="233"/>
      <c r="EG86" s="233"/>
      <c r="EH86" s="233"/>
      <c r="EI86" s="233"/>
      <c r="EJ86" s="233"/>
      <c r="EK86" s="233"/>
      <c r="EL86" s="233"/>
      <c r="EM86" s="233"/>
      <c r="EN86" s="233"/>
      <c r="EO86" s="233"/>
      <c r="EP86" s="233"/>
      <c r="EQ86" s="233"/>
      <c r="ER86" s="233"/>
      <c r="ES86" s="233"/>
      <c r="ET86" s="233"/>
      <c r="EU86" s="233"/>
      <c r="EV86" s="233"/>
      <c r="EW86" s="233"/>
      <c r="EX86" s="233"/>
      <c r="EY86" s="233"/>
      <c r="EZ86" s="233"/>
      <c r="FA86" s="233"/>
      <c r="FB86" s="233"/>
      <c r="FC86" s="233"/>
      <c r="FD86" s="233"/>
      <c r="FE86" s="233"/>
      <c r="FF86" s="233"/>
      <c r="FG86" s="233"/>
      <c r="FH86" s="233"/>
      <c r="FI86" s="233"/>
      <c r="FJ86" s="233"/>
      <c r="FK86" s="233"/>
      <c r="FL86" s="233"/>
      <c r="FM86" s="233"/>
      <c r="FN86" s="233"/>
      <c r="FO86" s="233"/>
      <c r="FP86" s="233"/>
      <c r="FQ86" s="233"/>
      <c r="FR86" s="233"/>
      <c r="FS86" s="233"/>
      <c r="FT86" s="233"/>
      <c r="FU86" s="233"/>
      <c r="FV86" s="233"/>
      <c r="FW86" s="233"/>
      <c r="FX86" s="233"/>
      <c r="FY86" s="233"/>
      <c r="FZ86" s="233"/>
      <c r="GA86" s="233"/>
      <c r="GB86" s="233"/>
      <c r="GC86" s="233"/>
      <c r="GD86" s="233"/>
      <c r="GE86" s="233"/>
      <c r="GF86" s="233"/>
      <c r="GG86" s="233"/>
      <c r="GH86" s="233"/>
      <c r="GI86" s="233"/>
      <c r="GJ86" s="233"/>
      <c r="GK86" s="233"/>
      <c r="GL86" s="233"/>
      <c r="GM86" s="233"/>
      <c r="GN86" s="233"/>
      <c r="GO86" s="233"/>
      <c r="GP86" s="233"/>
      <c r="GQ86" s="233"/>
      <c r="GR86" s="233"/>
      <c r="GS86" s="233"/>
      <c r="GT86" s="233"/>
      <c r="GU86" s="233"/>
      <c r="GV86" s="233"/>
      <c r="GW86" s="233"/>
      <c r="GX86" s="233"/>
      <c r="GY86" s="233"/>
      <c r="GZ86" s="233"/>
      <c r="HA86" s="233"/>
      <c r="HB86" s="233"/>
      <c r="HC86" s="233"/>
      <c r="HD86" s="233"/>
      <c r="HE86" s="233"/>
      <c r="HF86" s="233"/>
      <c r="HG86" s="233"/>
      <c r="HH86" s="233"/>
      <c r="HI86" s="233"/>
      <c r="HJ86" s="233"/>
      <c r="HK86" s="233"/>
      <c r="HL86" s="233"/>
      <c r="HM86" s="233"/>
      <c r="HN86" s="233"/>
      <c r="HO86" s="233"/>
      <c r="HP86" s="233"/>
      <c r="HQ86" s="233"/>
      <c r="HR86" s="233"/>
      <c r="HS86" s="233"/>
      <c r="HT86" s="233"/>
      <c r="HU86" s="233"/>
      <c r="HV86" s="233"/>
      <c r="HW86" s="233"/>
      <c r="HX86" s="233"/>
      <c r="HY86" s="233"/>
      <c r="HZ86" s="233"/>
      <c r="IA86" s="233"/>
      <c r="IB86" s="233"/>
      <c r="IC86" s="233"/>
      <c r="ID86" s="233"/>
      <c r="IE86" s="233"/>
      <c r="IF86" s="233"/>
      <c r="IG86" s="233"/>
      <c r="IH86" s="233"/>
      <c r="II86" s="233"/>
      <c r="IJ86" s="233"/>
      <c r="IK86" s="233"/>
      <c r="IL86" s="233"/>
      <c r="IM86" s="233"/>
      <c r="IN86" s="233"/>
      <c r="IO86" s="233"/>
      <c r="IP86" s="233"/>
      <c r="IQ86" s="233"/>
      <c r="IR86" s="233"/>
      <c r="IS86" s="233"/>
      <c r="IT86" s="233"/>
      <c r="IU86" s="233"/>
      <c r="IV86" s="233"/>
      <c r="IW86" s="233"/>
      <c r="IX86" s="233"/>
      <c r="IY86" s="233"/>
      <c r="IZ86" s="233"/>
      <c r="JA86" s="233"/>
      <c r="JB86" s="233"/>
      <c r="JC86" s="233"/>
      <c r="JD86" s="233"/>
      <c r="JE86" s="233"/>
      <c r="JF86" s="233"/>
      <c r="JG86" s="233"/>
      <c r="JH86" s="233"/>
      <c r="JI86" s="233"/>
      <c r="JJ86" s="233"/>
      <c r="JK86" s="233"/>
      <c r="JL86" s="233"/>
      <c r="JM86" s="233"/>
      <c r="JN86" s="233"/>
      <c r="JO86" s="233"/>
      <c r="JP86" s="233"/>
      <c r="JQ86" s="233"/>
      <c r="JR86" s="233"/>
      <c r="JS86" s="233"/>
      <c r="JT86" s="233"/>
      <c r="JU86" s="233"/>
      <c r="JV86" s="233"/>
      <c r="JW86" s="233"/>
      <c r="JX86" s="233"/>
      <c r="JY86" s="233"/>
      <c r="JZ86" s="233"/>
      <c r="KA86" s="233"/>
      <c r="KB86" s="233"/>
      <c r="KC86" s="233"/>
      <c r="KD86" s="233"/>
      <c r="KE86" s="233"/>
      <c r="KF86" s="233"/>
      <c r="KG86" s="233"/>
      <c r="KH86" s="233"/>
      <c r="KI86" s="233"/>
      <c r="KJ86" s="233"/>
      <c r="KK86" s="233"/>
      <c r="KL86" s="233"/>
      <c r="KM86" s="233"/>
      <c r="KN86" s="233"/>
      <c r="KO86" s="233"/>
      <c r="KP86" s="233"/>
      <c r="KQ86" s="233"/>
      <c r="KR86" s="233"/>
      <c r="KS86" s="233"/>
      <c r="KT86" s="233"/>
      <c r="KU86" s="233"/>
      <c r="KV86" s="233"/>
      <c r="KW86" s="233"/>
      <c r="KX86" s="233"/>
      <c r="KY86" s="233"/>
      <c r="KZ86" s="233"/>
      <c r="LA86" s="233"/>
      <c r="LB86" s="233"/>
      <c r="LC86" s="233"/>
      <c r="LD86" s="233"/>
      <c r="LE86" s="233"/>
      <c r="LF86" s="233"/>
      <c r="LG86" s="233"/>
      <c r="LH86" s="233"/>
      <c r="LI86" s="233"/>
      <c r="LJ86" s="233"/>
      <c r="LK86" s="233"/>
      <c r="LL86" s="233"/>
      <c r="LM86" s="233"/>
      <c r="LN86" s="233"/>
      <c r="LO86" s="233"/>
      <c r="LP86" s="233"/>
      <c r="LQ86" s="233"/>
      <c r="LR86" s="233"/>
      <c r="LS86" s="233"/>
      <c r="LT86" s="233"/>
      <c r="LU86" s="233"/>
      <c r="LV86" s="233"/>
      <c r="LW86" s="233"/>
      <c r="LX86" s="233"/>
      <c r="LY86" s="233"/>
      <c r="LZ86" s="233"/>
      <c r="MA86" s="233"/>
    </row>
    <row r="87" spans="1:339" s="54" customFormat="1" ht="60" hidden="1" customHeight="1" outlineLevel="1" x14ac:dyDescent="0.25">
      <c r="A87" s="50" t="s">
        <v>1304</v>
      </c>
      <c r="B87" s="50" t="s">
        <v>1482</v>
      </c>
      <c r="C87" s="50" t="s">
        <v>3140</v>
      </c>
      <c r="D87" s="50" t="s">
        <v>1506</v>
      </c>
      <c r="E87" s="160" t="s">
        <v>1487</v>
      </c>
      <c r="F87" s="90" t="s">
        <v>243</v>
      </c>
      <c r="G87" s="34"/>
      <c r="H87" s="161"/>
      <c r="I87" s="15"/>
      <c r="J87" s="17" t="str">
        <f>IF(H87&gt;0,(H87*VLOOKUP(Lookups!$K$11,Lookups!$M$10:$P$43,4,0)/VLOOKUP(I87,Lookups!$M$10:$P$43,4,0)),"")</f>
        <v/>
      </c>
      <c r="K87" s="161">
        <v>500</v>
      </c>
      <c r="L87" s="15" t="s">
        <v>257</v>
      </c>
      <c r="M87" s="17">
        <f>IF(K87&gt;0,(K87*VLOOKUP(Lookups!$K$11,Lookups!$M$10:$P$43,4,0)/VLOOKUP(L87,Lookups!$M$10:$P$43,4,0)),"")</f>
        <v>591.37767995534955</v>
      </c>
      <c r="N87" s="161"/>
      <c r="O87" s="15"/>
      <c r="P87" s="17" t="str">
        <f>IF(N87&gt;0,(N87*VLOOKUP(Lookups!$K$11,Lookups!$M$10:$P$43,4,0)/VLOOKUP(O87,Lookups!$M$10:$P$43,4,0)),"")</f>
        <v/>
      </c>
      <c r="Q87" s="234" t="s">
        <v>1488</v>
      </c>
      <c r="R87" s="15" t="s">
        <v>149</v>
      </c>
      <c r="S87" s="107" t="s">
        <v>1489</v>
      </c>
      <c r="T87" s="15"/>
      <c r="U87" s="90"/>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c r="BQ87" s="233"/>
      <c r="BR87" s="233"/>
      <c r="BS87" s="233"/>
      <c r="BT87" s="233"/>
      <c r="BU87" s="233"/>
      <c r="BV87" s="233"/>
      <c r="BW87" s="233"/>
      <c r="BX87" s="233"/>
      <c r="BY87" s="233"/>
      <c r="BZ87" s="233"/>
      <c r="CA87" s="233"/>
      <c r="CB87" s="233"/>
      <c r="CC87" s="233"/>
      <c r="CD87" s="233"/>
      <c r="CE87" s="233"/>
      <c r="CF87" s="233"/>
      <c r="CG87" s="233"/>
      <c r="CH87" s="233"/>
      <c r="CI87" s="233"/>
      <c r="CJ87" s="233"/>
      <c r="CK87" s="233"/>
      <c r="CL87" s="233"/>
      <c r="CM87" s="233"/>
      <c r="CN87" s="233"/>
      <c r="CO87" s="233"/>
      <c r="CP87" s="233"/>
      <c r="CQ87" s="233"/>
      <c r="CR87" s="233"/>
      <c r="CS87" s="233"/>
      <c r="CT87" s="233"/>
      <c r="CU87" s="233"/>
      <c r="CV87" s="233"/>
      <c r="CW87" s="233"/>
      <c r="CX87" s="233"/>
      <c r="CY87" s="233"/>
      <c r="CZ87" s="233"/>
      <c r="DA87" s="233"/>
      <c r="DB87" s="233"/>
      <c r="DC87" s="233"/>
      <c r="DD87" s="233"/>
      <c r="DE87" s="233"/>
      <c r="DF87" s="233"/>
      <c r="DG87" s="233"/>
      <c r="DH87" s="233"/>
      <c r="DI87" s="233"/>
      <c r="DJ87" s="233"/>
      <c r="DK87" s="233"/>
      <c r="DL87" s="233"/>
      <c r="DM87" s="233"/>
      <c r="DN87" s="233"/>
      <c r="DO87" s="233"/>
      <c r="DP87" s="233"/>
      <c r="DQ87" s="233"/>
      <c r="DR87" s="233"/>
      <c r="DS87" s="233"/>
      <c r="DT87" s="233"/>
      <c r="DU87" s="233"/>
      <c r="DV87" s="233"/>
      <c r="DW87" s="233"/>
      <c r="DX87" s="233"/>
      <c r="DY87" s="233"/>
      <c r="DZ87" s="233"/>
      <c r="EA87" s="233"/>
      <c r="EB87" s="233"/>
      <c r="EC87" s="233"/>
      <c r="ED87" s="233"/>
      <c r="EE87" s="233"/>
      <c r="EF87" s="233"/>
      <c r="EG87" s="233"/>
      <c r="EH87" s="233"/>
      <c r="EI87" s="233"/>
      <c r="EJ87" s="233"/>
      <c r="EK87" s="233"/>
      <c r="EL87" s="233"/>
      <c r="EM87" s="233"/>
      <c r="EN87" s="233"/>
      <c r="EO87" s="233"/>
      <c r="EP87" s="233"/>
      <c r="EQ87" s="233"/>
      <c r="ER87" s="233"/>
      <c r="ES87" s="233"/>
      <c r="ET87" s="233"/>
      <c r="EU87" s="233"/>
      <c r="EV87" s="233"/>
      <c r="EW87" s="233"/>
      <c r="EX87" s="233"/>
      <c r="EY87" s="233"/>
      <c r="EZ87" s="233"/>
      <c r="FA87" s="233"/>
      <c r="FB87" s="233"/>
      <c r="FC87" s="233"/>
      <c r="FD87" s="233"/>
      <c r="FE87" s="233"/>
      <c r="FF87" s="233"/>
      <c r="FG87" s="233"/>
      <c r="FH87" s="233"/>
      <c r="FI87" s="233"/>
      <c r="FJ87" s="233"/>
      <c r="FK87" s="233"/>
      <c r="FL87" s="233"/>
      <c r="FM87" s="233"/>
      <c r="FN87" s="233"/>
      <c r="FO87" s="233"/>
      <c r="FP87" s="233"/>
      <c r="FQ87" s="233"/>
      <c r="FR87" s="233"/>
      <c r="FS87" s="233"/>
      <c r="FT87" s="233"/>
      <c r="FU87" s="233"/>
      <c r="FV87" s="233"/>
      <c r="FW87" s="233"/>
      <c r="FX87" s="233"/>
      <c r="FY87" s="233"/>
      <c r="FZ87" s="233"/>
      <c r="GA87" s="233"/>
      <c r="GB87" s="233"/>
      <c r="GC87" s="233"/>
      <c r="GD87" s="233"/>
      <c r="GE87" s="233"/>
      <c r="GF87" s="233"/>
      <c r="GG87" s="233"/>
      <c r="GH87" s="233"/>
      <c r="GI87" s="233"/>
      <c r="GJ87" s="233"/>
      <c r="GK87" s="233"/>
      <c r="GL87" s="233"/>
      <c r="GM87" s="233"/>
      <c r="GN87" s="233"/>
      <c r="GO87" s="233"/>
      <c r="GP87" s="233"/>
      <c r="GQ87" s="233"/>
      <c r="GR87" s="233"/>
      <c r="GS87" s="233"/>
      <c r="GT87" s="233"/>
      <c r="GU87" s="233"/>
      <c r="GV87" s="233"/>
      <c r="GW87" s="233"/>
      <c r="GX87" s="233"/>
      <c r="GY87" s="233"/>
      <c r="GZ87" s="233"/>
      <c r="HA87" s="233"/>
      <c r="HB87" s="233"/>
      <c r="HC87" s="233"/>
      <c r="HD87" s="233"/>
      <c r="HE87" s="233"/>
      <c r="HF87" s="233"/>
      <c r="HG87" s="233"/>
      <c r="HH87" s="233"/>
      <c r="HI87" s="233"/>
      <c r="HJ87" s="233"/>
      <c r="HK87" s="233"/>
      <c r="HL87" s="233"/>
      <c r="HM87" s="233"/>
      <c r="HN87" s="233"/>
      <c r="HO87" s="233"/>
      <c r="HP87" s="233"/>
      <c r="HQ87" s="233"/>
      <c r="HR87" s="233"/>
      <c r="HS87" s="233"/>
      <c r="HT87" s="233"/>
      <c r="HU87" s="233"/>
      <c r="HV87" s="233"/>
      <c r="HW87" s="233"/>
      <c r="HX87" s="233"/>
      <c r="HY87" s="233"/>
      <c r="HZ87" s="233"/>
      <c r="IA87" s="233"/>
      <c r="IB87" s="233"/>
      <c r="IC87" s="233"/>
      <c r="ID87" s="233"/>
      <c r="IE87" s="233"/>
      <c r="IF87" s="233"/>
      <c r="IG87" s="233"/>
      <c r="IH87" s="233"/>
      <c r="II87" s="233"/>
      <c r="IJ87" s="233"/>
      <c r="IK87" s="233"/>
      <c r="IL87" s="233"/>
      <c r="IM87" s="233"/>
      <c r="IN87" s="233"/>
      <c r="IO87" s="233"/>
      <c r="IP87" s="233"/>
      <c r="IQ87" s="233"/>
      <c r="IR87" s="233"/>
      <c r="IS87" s="233"/>
      <c r="IT87" s="233"/>
      <c r="IU87" s="233"/>
      <c r="IV87" s="233"/>
      <c r="IW87" s="233"/>
      <c r="IX87" s="233"/>
      <c r="IY87" s="233"/>
      <c r="IZ87" s="233"/>
      <c r="JA87" s="233"/>
      <c r="JB87" s="233"/>
      <c r="JC87" s="233"/>
      <c r="JD87" s="233"/>
      <c r="JE87" s="233"/>
      <c r="JF87" s="233"/>
      <c r="JG87" s="233"/>
      <c r="JH87" s="233"/>
      <c r="JI87" s="233"/>
      <c r="JJ87" s="233"/>
      <c r="JK87" s="233"/>
      <c r="JL87" s="233"/>
      <c r="JM87" s="233"/>
      <c r="JN87" s="233"/>
      <c r="JO87" s="233"/>
      <c r="JP87" s="233"/>
      <c r="JQ87" s="233"/>
      <c r="JR87" s="233"/>
      <c r="JS87" s="233"/>
      <c r="JT87" s="233"/>
      <c r="JU87" s="233"/>
      <c r="JV87" s="233"/>
      <c r="JW87" s="233"/>
      <c r="JX87" s="233"/>
      <c r="JY87" s="233"/>
      <c r="JZ87" s="233"/>
      <c r="KA87" s="233"/>
      <c r="KB87" s="233"/>
      <c r="KC87" s="233"/>
      <c r="KD87" s="233"/>
      <c r="KE87" s="233"/>
      <c r="KF87" s="233"/>
      <c r="KG87" s="233"/>
      <c r="KH87" s="233"/>
      <c r="KI87" s="233"/>
      <c r="KJ87" s="233"/>
      <c r="KK87" s="233"/>
      <c r="KL87" s="233"/>
      <c r="KM87" s="233"/>
      <c r="KN87" s="233"/>
      <c r="KO87" s="233"/>
      <c r="KP87" s="233"/>
      <c r="KQ87" s="233"/>
      <c r="KR87" s="233"/>
      <c r="KS87" s="233"/>
      <c r="KT87" s="233"/>
      <c r="KU87" s="233"/>
      <c r="KV87" s="233"/>
      <c r="KW87" s="233"/>
      <c r="KX87" s="233"/>
      <c r="KY87" s="233"/>
      <c r="KZ87" s="233"/>
      <c r="LA87" s="233"/>
      <c r="LB87" s="233"/>
      <c r="LC87" s="233"/>
      <c r="LD87" s="233"/>
      <c r="LE87" s="233"/>
      <c r="LF87" s="233"/>
      <c r="LG87" s="233"/>
      <c r="LH87" s="233"/>
      <c r="LI87" s="233"/>
      <c r="LJ87" s="233"/>
      <c r="LK87" s="233"/>
      <c r="LL87" s="233"/>
      <c r="LM87" s="233"/>
      <c r="LN87" s="233"/>
      <c r="LO87" s="233"/>
      <c r="LP87" s="233"/>
      <c r="LQ87" s="233"/>
      <c r="LR87" s="233"/>
      <c r="LS87" s="233"/>
      <c r="LT87" s="233"/>
      <c r="LU87" s="233"/>
      <c r="LV87" s="233"/>
      <c r="LW87" s="233"/>
      <c r="LX87" s="233"/>
      <c r="LY87" s="233"/>
      <c r="LZ87" s="233"/>
      <c r="MA87" s="233"/>
    </row>
    <row r="88" spans="1:339" s="54" customFormat="1" ht="60" hidden="1" customHeight="1" outlineLevel="1" x14ac:dyDescent="0.25">
      <c r="A88" s="50" t="s">
        <v>1304</v>
      </c>
      <c r="B88" s="50" t="s">
        <v>1482</v>
      </c>
      <c r="C88" s="50" t="s">
        <v>3141</v>
      </c>
      <c r="D88" s="50" t="s">
        <v>1492</v>
      </c>
      <c r="E88" s="160" t="s">
        <v>1490</v>
      </c>
      <c r="F88" s="90" t="s">
        <v>243</v>
      </c>
      <c r="G88" s="34"/>
      <c r="H88" s="161"/>
      <c r="I88" s="15"/>
      <c r="J88" s="17" t="str">
        <f>IF(H88&gt;0,(H88*VLOOKUP(Lookups!$K$11,Lookups!$M$10:$P$43,4,0)/VLOOKUP(I88,Lookups!$M$10:$P$43,4,0)),"")</f>
        <v/>
      </c>
      <c r="K88" s="161">
        <f>(2.1*K3)+885</f>
        <v>1405.8000000000002</v>
      </c>
      <c r="L88" s="15" t="s">
        <v>258</v>
      </c>
      <c r="M88" s="17">
        <f>IF(K88&gt;0,(K88*VLOOKUP(Lookups!$K$11,Lookups!$M$10:$P$43,4,0)/VLOOKUP(L88,Lookups!$M$10:$P$43,4,0)),"")</f>
        <v>1626.3451100955297</v>
      </c>
      <c r="N88" s="161"/>
      <c r="O88" s="15"/>
      <c r="P88" s="17" t="str">
        <f>IF(N88&gt;0,(N88*VLOOKUP(Lookups!$K$11,Lookups!$M$10:$P$43,4,0)/VLOOKUP(O88,Lookups!$M$10:$P$43,4,0)),"")</f>
        <v/>
      </c>
      <c r="Q88" s="235" t="s">
        <v>1491</v>
      </c>
      <c r="R88" s="15" t="s">
        <v>152</v>
      </c>
      <c r="S88" s="107" t="s">
        <v>2398</v>
      </c>
      <c r="T88" s="15"/>
      <c r="U88" s="90"/>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33"/>
      <c r="BA88" s="233"/>
      <c r="BB88" s="233"/>
      <c r="BC88" s="233"/>
      <c r="BD88" s="233"/>
      <c r="BE88" s="233"/>
      <c r="BF88" s="233"/>
      <c r="BG88" s="233"/>
      <c r="BH88" s="233"/>
      <c r="BI88" s="233"/>
      <c r="BJ88" s="233"/>
      <c r="BK88" s="233"/>
      <c r="BL88" s="233"/>
      <c r="BM88" s="233"/>
      <c r="BN88" s="233"/>
      <c r="BO88" s="233"/>
      <c r="BP88" s="233"/>
      <c r="BQ88" s="233"/>
      <c r="BR88" s="233"/>
      <c r="BS88" s="233"/>
      <c r="BT88" s="233"/>
      <c r="BU88" s="233"/>
      <c r="BV88" s="233"/>
      <c r="BW88" s="233"/>
      <c r="BX88" s="233"/>
      <c r="BY88" s="233"/>
      <c r="BZ88" s="233"/>
      <c r="CA88" s="233"/>
      <c r="CB88" s="233"/>
      <c r="CC88" s="233"/>
      <c r="CD88" s="233"/>
      <c r="CE88" s="233"/>
      <c r="CF88" s="233"/>
      <c r="CG88" s="233"/>
      <c r="CH88" s="233"/>
      <c r="CI88" s="233"/>
      <c r="CJ88" s="233"/>
      <c r="CK88" s="233"/>
      <c r="CL88" s="233"/>
      <c r="CM88" s="233"/>
      <c r="CN88" s="233"/>
      <c r="CO88" s="233"/>
      <c r="CP88" s="233"/>
      <c r="CQ88" s="233"/>
      <c r="CR88" s="233"/>
      <c r="CS88" s="233"/>
      <c r="CT88" s="233"/>
      <c r="CU88" s="233"/>
      <c r="CV88" s="233"/>
      <c r="CW88" s="233"/>
      <c r="CX88" s="233"/>
      <c r="CY88" s="233"/>
      <c r="CZ88" s="233"/>
      <c r="DA88" s="233"/>
      <c r="DB88" s="233"/>
      <c r="DC88" s="233"/>
      <c r="DD88" s="233"/>
      <c r="DE88" s="233"/>
      <c r="DF88" s="233"/>
      <c r="DG88" s="233"/>
      <c r="DH88" s="233"/>
      <c r="DI88" s="233"/>
      <c r="DJ88" s="233"/>
      <c r="DK88" s="233"/>
      <c r="DL88" s="233"/>
      <c r="DM88" s="233"/>
      <c r="DN88" s="233"/>
      <c r="DO88" s="233"/>
      <c r="DP88" s="233"/>
      <c r="DQ88" s="233"/>
      <c r="DR88" s="233"/>
      <c r="DS88" s="233"/>
      <c r="DT88" s="233"/>
      <c r="DU88" s="233"/>
      <c r="DV88" s="233"/>
      <c r="DW88" s="233"/>
      <c r="DX88" s="233"/>
      <c r="DY88" s="233"/>
      <c r="DZ88" s="233"/>
      <c r="EA88" s="233"/>
      <c r="EB88" s="233"/>
      <c r="EC88" s="233"/>
      <c r="ED88" s="233"/>
      <c r="EE88" s="233"/>
      <c r="EF88" s="233"/>
      <c r="EG88" s="233"/>
      <c r="EH88" s="233"/>
      <c r="EI88" s="233"/>
      <c r="EJ88" s="233"/>
      <c r="EK88" s="233"/>
      <c r="EL88" s="233"/>
      <c r="EM88" s="233"/>
      <c r="EN88" s="233"/>
      <c r="EO88" s="233"/>
      <c r="EP88" s="233"/>
      <c r="EQ88" s="233"/>
      <c r="ER88" s="233"/>
      <c r="ES88" s="233"/>
      <c r="ET88" s="233"/>
      <c r="EU88" s="233"/>
      <c r="EV88" s="233"/>
      <c r="EW88" s="233"/>
      <c r="EX88" s="233"/>
      <c r="EY88" s="233"/>
      <c r="EZ88" s="233"/>
      <c r="FA88" s="233"/>
      <c r="FB88" s="233"/>
      <c r="FC88" s="233"/>
      <c r="FD88" s="233"/>
      <c r="FE88" s="233"/>
      <c r="FF88" s="233"/>
      <c r="FG88" s="233"/>
      <c r="FH88" s="233"/>
      <c r="FI88" s="233"/>
      <c r="FJ88" s="233"/>
      <c r="FK88" s="233"/>
      <c r="FL88" s="233"/>
      <c r="FM88" s="233"/>
      <c r="FN88" s="233"/>
      <c r="FO88" s="233"/>
      <c r="FP88" s="233"/>
      <c r="FQ88" s="233"/>
      <c r="FR88" s="233"/>
      <c r="FS88" s="233"/>
      <c r="FT88" s="233"/>
      <c r="FU88" s="233"/>
      <c r="FV88" s="233"/>
      <c r="FW88" s="233"/>
      <c r="FX88" s="233"/>
      <c r="FY88" s="233"/>
      <c r="FZ88" s="233"/>
      <c r="GA88" s="233"/>
      <c r="GB88" s="233"/>
      <c r="GC88" s="233"/>
      <c r="GD88" s="233"/>
      <c r="GE88" s="233"/>
      <c r="GF88" s="233"/>
      <c r="GG88" s="233"/>
      <c r="GH88" s="233"/>
      <c r="GI88" s="233"/>
      <c r="GJ88" s="233"/>
      <c r="GK88" s="233"/>
      <c r="GL88" s="233"/>
      <c r="GM88" s="233"/>
      <c r="GN88" s="233"/>
      <c r="GO88" s="233"/>
      <c r="GP88" s="233"/>
      <c r="GQ88" s="233"/>
      <c r="GR88" s="233"/>
      <c r="GS88" s="233"/>
      <c r="GT88" s="233"/>
      <c r="GU88" s="233"/>
      <c r="GV88" s="233"/>
      <c r="GW88" s="233"/>
      <c r="GX88" s="233"/>
      <c r="GY88" s="233"/>
      <c r="GZ88" s="233"/>
      <c r="HA88" s="233"/>
      <c r="HB88" s="233"/>
      <c r="HC88" s="233"/>
      <c r="HD88" s="233"/>
      <c r="HE88" s="233"/>
      <c r="HF88" s="233"/>
      <c r="HG88" s="233"/>
      <c r="HH88" s="233"/>
      <c r="HI88" s="233"/>
      <c r="HJ88" s="233"/>
      <c r="HK88" s="233"/>
      <c r="HL88" s="233"/>
      <c r="HM88" s="233"/>
      <c r="HN88" s="233"/>
      <c r="HO88" s="233"/>
      <c r="HP88" s="233"/>
      <c r="HQ88" s="233"/>
      <c r="HR88" s="233"/>
      <c r="HS88" s="233"/>
      <c r="HT88" s="233"/>
      <c r="HU88" s="233"/>
      <c r="HV88" s="233"/>
      <c r="HW88" s="233"/>
      <c r="HX88" s="233"/>
      <c r="HY88" s="233"/>
      <c r="HZ88" s="233"/>
      <c r="IA88" s="233"/>
      <c r="IB88" s="233"/>
      <c r="IC88" s="233"/>
      <c r="ID88" s="233"/>
      <c r="IE88" s="233"/>
      <c r="IF88" s="233"/>
      <c r="IG88" s="233"/>
      <c r="IH88" s="233"/>
      <c r="II88" s="233"/>
      <c r="IJ88" s="233"/>
      <c r="IK88" s="233"/>
      <c r="IL88" s="233"/>
      <c r="IM88" s="233"/>
      <c r="IN88" s="233"/>
      <c r="IO88" s="233"/>
      <c r="IP88" s="233"/>
      <c r="IQ88" s="233"/>
      <c r="IR88" s="233"/>
      <c r="IS88" s="233"/>
      <c r="IT88" s="233"/>
      <c r="IU88" s="233"/>
      <c r="IV88" s="233"/>
      <c r="IW88" s="233"/>
      <c r="IX88" s="233"/>
      <c r="IY88" s="233"/>
      <c r="IZ88" s="233"/>
      <c r="JA88" s="233"/>
      <c r="JB88" s="233"/>
      <c r="JC88" s="233"/>
      <c r="JD88" s="233"/>
      <c r="JE88" s="233"/>
      <c r="JF88" s="233"/>
      <c r="JG88" s="233"/>
      <c r="JH88" s="233"/>
      <c r="JI88" s="233"/>
      <c r="JJ88" s="233"/>
      <c r="JK88" s="233"/>
      <c r="JL88" s="233"/>
      <c r="JM88" s="233"/>
      <c r="JN88" s="233"/>
      <c r="JO88" s="233"/>
      <c r="JP88" s="233"/>
      <c r="JQ88" s="233"/>
      <c r="JR88" s="233"/>
      <c r="JS88" s="233"/>
      <c r="JT88" s="233"/>
      <c r="JU88" s="233"/>
      <c r="JV88" s="233"/>
      <c r="JW88" s="233"/>
      <c r="JX88" s="233"/>
      <c r="JY88" s="233"/>
      <c r="JZ88" s="233"/>
      <c r="KA88" s="233"/>
      <c r="KB88" s="233"/>
      <c r="KC88" s="233"/>
      <c r="KD88" s="233"/>
      <c r="KE88" s="233"/>
      <c r="KF88" s="233"/>
      <c r="KG88" s="233"/>
      <c r="KH88" s="233"/>
      <c r="KI88" s="233"/>
      <c r="KJ88" s="233"/>
      <c r="KK88" s="233"/>
      <c r="KL88" s="233"/>
      <c r="KM88" s="233"/>
      <c r="KN88" s="233"/>
      <c r="KO88" s="233"/>
      <c r="KP88" s="233"/>
      <c r="KQ88" s="233"/>
      <c r="KR88" s="233"/>
      <c r="KS88" s="233"/>
      <c r="KT88" s="233"/>
      <c r="KU88" s="233"/>
      <c r="KV88" s="233"/>
      <c r="KW88" s="233"/>
      <c r="KX88" s="233"/>
      <c r="KY88" s="233"/>
      <c r="KZ88" s="233"/>
      <c r="LA88" s="233"/>
      <c r="LB88" s="233"/>
      <c r="LC88" s="233"/>
      <c r="LD88" s="233"/>
      <c r="LE88" s="233"/>
      <c r="LF88" s="233"/>
      <c r="LG88" s="233"/>
      <c r="LH88" s="233"/>
      <c r="LI88" s="233"/>
      <c r="LJ88" s="233"/>
      <c r="LK88" s="233"/>
      <c r="LL88" s="233"/>
      <c r="LM88" s="233"/>
      <c r="LN88" s="233"/>
      <c r="LO88" s="233"/>
      <c r="LP88" s="233"/>
      <c r="LQ88" s="233"/>
      <c r="LR88" s="233"/>
      <c r="LS88" s="233"/>
      <c r="LT88" s="233"/>
      <c r="LU88" s="233"/>
      <c r="LV88" s="233"/>
      <c r="LW88" s="233"/>
      <c r="LX88" s="233"/>
      <c r="LY88" s="233"/>
      <c r="LZ88" s="233"/>
      <c r="MA88" s="233"/>
    </row>
    <row r="89" spans="1:339" s="54" customFormat="1" ht="60" hidden="1" customHeight="1" outlineLevel="1" x14ac:dyDescent="0.25">
      <c r="A89" s="50" t="s">
        <v>1304</v>
      </c>
      <c r="B89" s="50" t="s">
        <v>1482</v>
      </c>
      <c r="C89" s="50" t="s">
        <v>3142</v>
      </c>
      <c r="D89" s="50" t="s">
        <v>1493</v>
      </c>
      <c r="E89" s="160" t="s">
        <v>1490</v>
      </c>
      <c r="F89" s="90" t="s">
        <v>243</v>
      </c>
      <c r="G89" s="34"/>
      <c r="H89" s="161"/>
      <c r="I89" s="15"/>
      <c r="J89" s="17" t="str">
        <f>IF(H89&gt;0,(H89*VLOOKUP(Lookups!$K$11,Lookups!$M$10:$P$43,4,0)/VLOOKUP(I89,Lookups!$M$10:$P$43,4,0)),"")</f>
        <v/>
      </c>
      <c r="K89" s="161">
        <f>(2.2*K3)+946</f>
        <v>1491.6</v>
      </c>
      <c r="L89" s="15" t="s">
        <v>258</v>
      </c>
      <c r="M89" s="17">
        <f>IF(K89&gt;0,(K89*VLOOKUP(Lookups!$K$11,Lookups!$M$10:$P$43,4,0)/VLOOKUP(L89,Lookups!$M$10:$P$43,4,0)),"")</f>
        <v>1725.6056097727214</v>
      </c>
      <c r="N89" s="161"/>
      <c r="O89" s="15"/>
      <c r="P89" s="17" t="str">
        <f>IF(N89&gt;0,(N89*VLOOKUP(Lookups!$K$11,Lookups!$M$10:$P$43,4,0)/VLOOKUP(O89,Lookups!$M$10:$P$43,4,0)),"")</f>
        <v/>
      </c>
      <c r="Q89" s="235" t="s">
        <v>1491</v>
      </c>
      <c r="R89" s="15" t="s">
        <v>152</v>
      </c>
      <c r="S89" s="107" t="s">
        <v>2399</v>
      </c>
      <c r="T89" s="15"/>
      <c r="U89" s="90"/>
      <c r="V89" s="233"/>
      <c r="W89" s="233"/>
      <c r="X89" s="233"/>
      <c r="Y89" s="233"/>
      <c r="Z89" s="233"/>
      <c r="AA89" s="233"/>
      <c r="AB89" s="233"/>
      <c r="AC89" s="233"/>
      <c r="AD89" s="233"/>
      <c r="AE89" s="233"/>
      <c r="AF89" s="233"/>
      <c r="AG89" s="233"/>
      <c r="AH89" s="233"/>
      <c r="AI89" s="233"/>
      <c r="AJ89" s="233"/>
      <c r="AK89" s="233"/>
      <c r="AL89" s="233"/>
      <c r="AM89" s="233"/>
      <c r="AN89" s="233"/>
      <c r="AO89" s="233"/>
      <c r="AP89" s="233"/>
      <c r="AQ89" s="233"/>
      <c r="AR89" s="233"/>
      <c r="AS89" s="233"/>
      <c r="AT89" s="233"/>
      <c r="AU89" s="233"/>
      <c r="AV89" s="233"/>
      <c r="AW89" s="233"/>
      <c r="AX89" s="233"/>
      <c r="AY89" s="233"/>
      <c r="AZ89" s="233"/>
      <c r="BA89" s="233"/>
      <c r="BB89" s="233"/>
      <c r="BC89" s="233"/>
      <c r="BD89" s="233"/>
      <c r="BE89" s="233"/>
      <c r="BF89" s="233"/>
      <c r="BG89" s="233"/>
      <c r="BH89" s="233"/>
      <c r="BI89" s="233"/>
      <c r="BJ89" s="233"/>
      <c r="BK89" s="233"/>
      <c r="BL89" s="233"/>
      <c r="BM89" s="233"/>
      <c r="BN89" s="233"/>
      <c r="BO89" s="233"/>
      <c r="BP89" s="233"/>
      <c r="BQ89" s="233"/>
      <c r="BR89" s="233"/>
      <c r="BS89" s="233"/>
      <c r="BT89" s="233"/>
      <c r="BU89" s="233"/>
      <c r="BV89" s="233"/>
      <c r="BW89" s="233"/>
      <c r="BX89" s="233"/>
      <c r="BY89" s="233"/>
      <c r="BZ89" s="233"/>
      <c r="CA89" s="233"/>
      <c r="CB89" s="233"/>
      <c r="CC89" s="233"/>
      <c r="CD89" s="233"/>
      <c r="CE89" s="233"/>
      <c r="CF89" s="233"/>
      <c r="CG89" s="233"/>
      <c r="CH89" s="233"/>
      <c r="CI89" s="233"/>
      <c r="CJ89" s="233"/>
      <c r="CK89" s="233"/>
      <c r="CL89" s="233"/>
      <c r="CM89" s="233"/>
      <c r="CN89" s="233"/>
      <c r="CO89" s="233"/>
      <c r="CP89" s="233"/>
      <c r="CQ89" s="233"/>
      <c r="CR89" s="233"/>
      <c r="CS89" s="233"/>
      <c r="CT89" s="233"/>
      <c r="CU89" s="233"/>
      <c r="CV89" s="233"/>
      <c r="CW89" s="233"/>
      <c r="CX89" s="233"/>
      <c r="CY89" s="233"/>
      <c r="CZ89" s="233"/>
      <c r="DA89" s="233"/>
      <c r="DB89" s="233"/>
      <c r="DC89" s="233"/>
      <c r="DD89" s="233"/>
      <c r="DE89" s="233"/>
      <c r="DF89" s="233"/>
      <c r="DG89" s="233"/>
      <c r="DH89" s="233"/>
      <c r="DI89" s="233"/>
      <c r="DJ89" s="233"/>
      <c r="DK89" s="233"/>
      <c r="DL89" s="233"/>
      <c r="DM89" s="233"/>
      <c r="DN89" s="233"/>
      <c r="DO89" s="233"/>
      <c r="DP89" s="233"/>
      <c r="DQ89" s="233"/>
      <c r="DR89" s="233"/>
      <c r="DS89" s="233"/>
      <c r="DT89" s="233"/>
      <c r="DU89" s="233"/>
      <c r="DV89" s="233"/>
      <c r="DW89" s="233"/>
      <c r="DX89" s="233"/>
      <c r="DY89" s="233"/>
      <c r="DZ89" s="233"/>
      <c r="EA89" s="233"/>
      <c r="EB89" s="233"/>
      <c r="EC89" s="233"/>
      <c r="ED89" s="233"/>
      <c r="EE89" s="233"/>
      <c r="EF89" s="233"/>
      <c r="EG89" s="233"/>
      <c r="EH89" s="233"/>
      <c r="EI89" s="233"/>
      <c r="EJ89" s="233"/>
      <c r="EK89" s="233"/>
      <c r="EL89" s="233"/>
      <c r="EM89" s="233"/>
      <c r="EN89" s="233"/>
      <c r="EO89" s="233"/>
      <c r="EP89" s="233"/>
      <c r="EQ89" s="233"/>
      <c r="ER89" s="233"/>
      <c r="ES89" s="233"/>
      <c r="ET89" s="233"/>
      <c r="EU89" s="233"/>
      <c r="EV89" s="233"/>
      <c r="EW89" s="233"/>
      <c r="EX89" s="233"/>
      <c r="EY89" s="233"/>
      <c r="EZ89" s="233"/>
      <c r="FA89" s="233"/>
      <c r="FB89" s="233"/>
      <c r="FC89" s="233"/>
      <c r="FD89" s="233"/>
      <c r="FE89" s="233"/>
      <c r="FF89" s="233"/>
      <c r="FG89" s="233"/>
      <c r="FH89" s="233"/>
      <c r="FI89" s="233"/>
      <c r="FJ89" s="233"/>
      <c r="FK89" s="233"/>
      <c r="FL89" s="233"/>
      <c r="FM89" s="233"/>
      <c r="FN89" s="233"/>
      <c r="FO89" s="233"/>
      <c r="FP89" s="233"/>
      <c r="FQ89" s="233"/>
      <c r="FR89" s="233"/>
      <c r="FS89" s="233"/>
      <c r="FT89" s="233"/>
      <c r="FU89" s="233"/>
      <c r="FV89" s="233"/>
      <c r="FW89" s="233"/>
      <c r="FX89" s="233"/>
      <c r="FY89" s="233"/>
      <c r="FZ89" s="233"/>
      <c r="GA89" s="233"/>
      <c r="GB89" s="233"/>
      <c r="GC89" s="233"/>
      <c r="GD89" s="233"/>
      <c r="GE89" s="233"/>
      <c r="GF89" s="233"/>
      <c r="GG89" s="233"/>
      <c r="GH89" s="233"/>
      <c r="GI89" s="233"/>
      <c r="GJ89" s="233"/>
      <c r="GK89" s="233"/>
      <c r="GL89" s="233"/>
      <c r="GM89" s="233"/>
      <c r="GN89" s="233"/>
      <c r="GO89" s="233"/>
      <c r="GP89" s="233"/>
      <c r="GQ89" s="233"/>
      <c r="GR89" s="233"/>
      <c r="GS89" s="233"/>
      <c r="GT89" s="233"/>
      <c r="GU89" s="233"/>
      <c r="GV89" s="233"/>
      <c r="GW89" s="233"/>
      <c r="GX89" s="233"/>
      <c r="GY89" s="233"/>
      <c r="GZ89" s="233"/>
      <c r="HA89" s="233"/>
      <c r="HB89" s="233"/>
      <c r="HC89" s="233"/>
      <c r="HD89" s="233"/>
      <c r="HE89" s="233"/>
      <c r="HF89" s="233"/>
      <c r="HG89" s="233"/>
      <c r="HH89" s="233"/>
      <c r="HI89" s="233"/>
      <c r="HJ89" s="233"/>
      <c r="HK89" s="233"/>
      <c r="HL89" s="233"/>
      <c r="HM89" s="233"/>
      <c r="HN89" s="233"/>
      <c r="HO89" s="233"/>
      <c r="HP89" s="233"/>
      <c r="HQ89" s="233"/>
      <c r="HR89" s="233"/>
      <c r="HS89" s="233"/>
      <c r="HT89" s="233"/>
      <c r="HU89" s="233"/>
      <c r="HV89" s="233"/>
      <c r="HW89" s="233"/>
      <c r="HX89" s="233"/>
      <c r="HY89" s="233"/>
      <c r="HZ89" s="233"/>
      <c r="IA89" s="233"/>
      <c r="IB89" s="233"/>
      <c r="IC89" s="233"/>
      <c r="ID89" s="233"/>
      <c r="IE89" s="233"/>
      <c r="IF89" s="233"/>
      <c r="IG89" s="233"/>
      <c r="IH89" s="233"/>
      <c r="II89" s="233"/>
      <c r="IJ89" s="233"/>
      <c r="IK89" s="233"/>
      <c r="IL89" s="233"/>
      <c r="IM89" s="233"/>
      <c r="IN89" s="233"/>
      <c r="IO89" s="233"/>
      <c r="IP89" s="233"/>
      <c r="IQ89" s="233"/>
      <c r="IR89" s="233"/>
      <c r="IS89" s="233"/>
      <c r="IT89" s="233"/>
      <c r="IU89" s="233"/>
      <c r="IV89" s="233"/>
      <c r="IW89" s="233"/>
      <c r="IX89" s="233"/>
      <c r="IY89" s="233"/>
      <c r="IZ89" s="233"/>
      <c r="JA89" s="233"/>
      <c r="JB89" s="233"/>
      <c r="JC89" s="233"/>
      <c r="JD89" s="233"/>
      <c r="JE89" s="233"/>
      <c r="JF89" s="233"/>
      <c r="JG89" s="233"/>
      <c r="JH89" s="233"/>
      <c r="JI89" s="233"/>
      <c r="JJ89" s="233"/>
      <c r="JK89" s="233"/>
      <c r="JL89" s="233"/>
      <c r="JM89" s="233"/>
      <c r="JN89" s="233"/>
      <c r="JO89" s="233"/>
      <c r="JP89" s="233"/>
      <c r="JQ89" s="233"/>
      <c r="JR89" s="233"/>
      <c r="JS89" s="233"/>
      <c r="JT89" s="233"/>
      <c r="JU89" s="233"/>
      <c r="JV89" s="233"/>
      <c r="JW89" s="233"/>
      <c r="JX89" s="233"/>
      <c r="JY89" s="233"/>
      <c r="JZ89" s="233"/>
      <c r="KA89" s="233"/>
      <c r="KB89" s="233"/>
      <c r="KC89" s="233"/>
      <c r="KD89" s="233"/>
      <c r="KE89" s="233"/>
      <c r="KF89" s="233"/>
      <c r="KG89" s="233"/>
      <c r="KH89" s="233"/>
      <c r="KI89" s="233"/>
      <c r="KJ89" s="233"/>
      <c r="KK89" s="233"/>
      <c r="KL89" s="233"/>
      <c r="KM89" s="233"/>
      <c r="KN89" s="233"/>
      <c r="KO89" s="233"/>
      <c r="KP89" s="233"/>
      <c r="KQ89" s="233"/>
      <c r="KR89" s="233"/>
      <c r="KS89" s="233"/>
      <c r="KT89" s="233"/>
      <c r="KU89" s="233"/>
      <c r="KV89" s="233"/>
      <c r="KW89" s="233"/>
      <c r="KX89" s="233"/>
      <c r="KY89" s="233"/>
      <c r="KZ89" s="233"/>
      <c r="LA89" s="233"/>
      <c r="LB89" s="233"/>
      <c r="LC89" s="233"/>
      <c r="LD89" s="233"/>
      <c r="LE89" s="233"/>
      <c r="LF89" s="233"/>
      <c r="LG89" s="233"/>
      <c r="LH89" s="233"/>
      <c r="LI89" s="233"/>
      <c r="LJ89" s="233"/>
      <c r="LK89" s="233"/>
      <c r="LL89" s="233"/>
      <c r="LM89" s="233"/>
      <c r="LN89" s="233"/>
      <c r="LO89" s="233"/>
      <c r="LP89" s="233"/>
      <c r="LQ89" s="233"/>
      <c r="LR89" s="233"/>
      <c r="LS89" s="233"/>
      <c r="LT89" s="233"/>
      <c r="LU89" s="233"/>
      <c r="LV89" s="233"/>
      <c r="LW89" s="233"/>
      <c r="LX89" s="233"/>
      <c r="LY89" s="233"/>
      <c r="LZ89" s="233"/>
      <c r="MA89" s="233"/>
    </row>
    <row r="90" spans="1:339" s="54" customFormat="1" ht="60" customHeight="1" collapsed="1" x14ac:dyDescent="0.25">
      <c r="A90" s="40" t="s">
        <v>1304</v>
      </c>
      <c r="B90" s="40" t="s">
        <v>1494</v>
      </c>
      <c r="C90" s="48" t="s">
        <v>1498</v>
      </c>
      <c r="D90" s="40" t="s">
        <v>1512</v>
      </c>
      <c r="E90" s="160" t="s">
        <v>1509</v>
      </c>
      <c r="F90" s="90" t="s">
        <v>243</v>
      </c>
      <c r="G90" s="34"/>
      <c r="H90" s="161"/>
      <c r="I90" s="15"/>
      <c r="J90" s="17" t="str">
        <f>IF(H90&gt;0,(H90*VLOOKUP(Lookups!$K$11,Lookups!$M$10:$P$43,4,0)/VLOOKUP(I90,Lookups!$M$10:$P$43,4,0)),"")</f>
        <v/>
      </c>
      <c r="K90" s="161">
        <v>340</v>
      </c>
      <c r="L90" s="15" t="s">
        <v>258</v>
      </c>
      <c r="M90" s="17">
        <f>IF(K90&gt;0,(K90*VLOOKUP(Lookups!$K$11,Lookups!$M$10:$P$43,4,0)/VLOOKUP(L90,Lookups!$M$10:$P$43,4,0)),"")</f>
        <v>393.33997541078395</v>
      </c>
      <c r="N90" s="161"/>
      <c r="O90" s="15"/>
      <c r="P90" s="17" t="str">
        <f>IF(N90&gt;0,(N90*VLOOKUP(Lookups!$K$11,Lookups!$M$10:$P$43,4,0)/VLOOKUP(O90,Lookups!$M$10:$P$43,4,0)),"")</f>
        <v/>
      </c>
      <c r="Q90" s="235" t="s">
        <v>1510</v>
      </c>
      <c r="R90" s="15" t="s">
        <v>152</v>
      </c>
      <c r="S90" s="107" t="s">
        <v>1511</v>
      </c>
      <c r="T90" s="15"/>
      <c r="U90" s="90"/>
      <c r="V90" s="233"/>
      <c r="W90" s="233"/>
      <c r="X90" s="233"/>
      <c r="Y90" s="233"/>
      <c r="Z90" s="233"/>
      <c r="AA90" s="233"/>
      <c r="AB90" s="233"/>
      <c r="AC90" s="233"/>
      <c r="AD90" s="233"/>
      <c r="AE90" s="233"/>
      <c r="AF90" s="233"/>
      <c r="AG90" s="233"/>
      <c r="AH90" s="233"/>
      <c r="AI90" s="233"/>
      <c r="AJ90" s="233"/>
      <c r="AK90" s="233"/>
      <c r="AL90" s="233"/>
      <c r="AM90" s="233"/>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3"/>
      <c r="BR90" s="233"/>
      <c r="BS90" s="233"/>
      <c r="BT90" s="233"/>
      <c r="BU90" s="233"/>
      <c r="BV90" s="233"/>
      <c r="BW90" s="233"/>
      <c r="BX90" s="233"/>
      <c r="BY90" s="233"/>
      <c r="BZ90" s="233"/>
      <c r="CA90" s="233"/>
      <c r="CB90" s="233"/>
      <c r="CC90" s="233"/>
      <c r="CD90" s="233"/>
      <c r="CE90" s="233"/>
      <c r="CF90" s="233"/>
      <c r="CG90" s="233"/>
      <c r="CH90" s="233"/>
      <c r="CI90" s="233"/>
      <c r="CJ90" s="233"/>
      <c r="CK90" s="233"/>
      <c r="CL90" s="233"/>
      <c r="CM90" s="233"/>
      <c r="CN90" s="233"/>
      <c r="CO90" s="233"/>
      <c r="CP90" s="233"/>
      <c r="CQ90" s="233"/>
      <c r="CR90" s="233"/>
      <c r="CS90" s="233"/>
      <c r="CT90" s="233"/>
      <c r="CU90" s="233"/>
      <c r="CV90" s="233"/>
      <c r="CW90" s="233"/>
      <c r="CX90" s="233"/>
      <c r="CY90" s="233"/>
      <c r="CZ90" s="233"/>
      <c r="DA90" s="233"/>
      <c r="DB90" s="233"/>
      <c r="DC90" s="233"/>
      <c r="DD90" s="233"/>
      <c r="DE90" s="233"/>
      <c r="DF90" s="233"/>
      <c r="DG90" s="233"/>
      <c r="DH90" s="233"/>
      <c r="DI90" s="233"/>
      <c r="DJ90" s="233"/>
      <c r="DK90" s="233"/>
      <c r="DL90" s="233"/>
      <c r="DM90" s="233"/>
      <c r="DN90" s="233"/>
      <c r="DO90" s="233"/>
      <c r="DP90" s="233"/>
      <c r="DQ90" s="233"/>
      <c r="DR90" s="233"/>
      <c r="DS90" s="233"/>
      <c r="DT90" s="233"/>
      <c r="DU90" s="233"/>
      <c r="DV90" s="233"/>
      <c r="DW90" s="233"/>
      <c r="DX90" s="233"/>
      <c r="DY90" s="233"/>
      <c r="DZ90" s="233"/>
      <c r="EA90" s="233"/>
      <c r="EB90" s="233"/>
      <c r="EC90" s="233"/>
      <c r="ED90" s="233"/>
      <c r="EE90" s="233"/>
      <c r="EF90" s="233"/>
      <c r="EG90" s="233"/>
      <c r="EH90" s="233"/>
      <c r="EI90" s="233"/>
      <c r="EJ90" s="233"/>
      <c r="EK90" s="233"/>
      <c r="EL90" s="233"/>
      <c r="EM90" s="233"/>
      <c r="EN90" s="233"/>
      <c r="EO90" s="233"/>
      <c r="EP90" s="233"/>
      <c r="EQ90" s="233"/>
      <c r="ER90" s="233"/>
      <c r="ES90" s="233"/>
      <c r="ET90" s="233"/>
      <c r="EU90" s="233"/>
      <c r="EV90" s="233"/>
      <c r="EW90" s="233"/>
      <c r="EX90" s="233"/>
      <c r="EY90" s="233"/>
      <c r="EZ90" s="233"/>
      <c r="FA90" s="233"/>
      <c r="FB90" s="233"/>
      <c r="FC90" s="233"/>
      <c r="FD90" s="233"/>
      <c r="FE90" s="233"/>
      <c r="FF90" s="233"/>
      <c r="FG90" s="233"/>
      <c r="FH90" s="233"/>
      <c r="FI90" s="233"/>
      <c r="FJ90" s="233"/>
      <c r="FK90" s="233"/>
      <c r="FL90" s="233"/>
      <c r="FM90" s="233"/>
      <c r="FN90" s="233"/>
      <c r="FO90" s="233"/>
      <c r="FP90" s="233"/>
      <c r="FQ90" s="233"/>
      <c r="FR90" s="233"/>
      <c r="FS90" s="233"/>
      <c r="FT90" s="233"/>
      <c r="FU90" s="233"/>
      <c r="FV90" s="233"/>
      <c r="FW90" s="233"/>
      <c r="FX90" s="233"/>
      <c r="FY90" s="233"/>
      <c r="FZ90" s="233"/>
      <c r="GA90" s="233"/>
      <c r="GB90" s="233"/>
      <c r="GC90" s="233"/>
      <c r="GD90" s="233"/>
      <c r="GE90" s="233"/>
      <c r="GF90" s="233"/>
      <c r="GG90" s="233"/>
      <c r="GH90" s="233"/>
      <c r="GI90" s="233"/>
      <c r="GJ90" s="233"/>
      <c r="GK90" s="233"/>
      <c r="GL90" s="233"/>
      <c r="GM90" s="233"/>
      <c r="GN90" s="233"/>
      <c r="GO90" s="233"/>
      <c r="GP90" s="233"/>
      <c r="GQ90" s="233"/>
      <c r="GR90" s="233"/>
      <c r="GS90" s="233"/>
      <c r="GT90" s="233"/>
      <c r="GU90" s="233"/>
      <c r="GV90" s="233"/>
      <c r="GW90" s="233"/>
      <c r="GX90" s="233"/>
      <c r="GY90" s="233"/>
      <c r="GZ90" s="233"/>
      <c r="HA90" s="233"/>
      <c r="HB90" s="233"/>
      <c r="HC90" s="233"/>
      <c r="HD90" s="233"/>
      <c r="HE90" s="233"/>
      <c r="HF90" s="233"/>
      <c r="HG90" s="233"/>
      <c r="HH90" s="233"/>
      <c r="HI90" s="233"/>
      <c r="HJ90" s="233"/>
      <c r="HK90" s="233"/>
      <c r="HL90" s="233"/>
      <c r="HM90" s="233"/>
      <c r="HN90" s="233"/>
      <c r="HO90" s="233"/>
      <c r="HP90" s="233"/>
      <c r="HQ90" s="233"/>
      <c r="HR90" s="233"/>
      <c r="HS90" s="233"/>
      <c r="HT90" s="233"/>
      <c r="HU90" s="233"/>
      <c r="HV90" s="233"/>
      <c r="HW90" s="233"/>
      <c r="HX90" s="233"/>
      <c r="HY90" s="233"/>
      <c r="HZ90" s="233"/>
      <c r="IA90" s="233"/>
      <c r="IB90" s="233"/>
      <c r="IC90" s="233"/>
      <c r="ID90" s="233"/>
      <c r="IE90" s="233"/>
      <c r="IF90" s="233"/>
      <c r="IG90" s="233"/>
      <c r="IH90" s="233"/>
      <c r="II90" s="233"/>
      <c r="IJ90" s="233"/>
      <c r="IK90" s="233"/>
      <c r="IL90" s="233"/>
      <c r="IM90" s="233"/>
      <c r="IN90" s="233"/>
      <c r="IO90" s="233"/>
      <c r="IP90" s="233"/>
      <c r="IQ90" s="233"/>
      <c r="IR90" s="233"/>
      <c r="IS90" s="233"/>
      <c r="IT90" s="233"/>
      <c r="IU90" s="233"/>
      <c r="IV90" s="233"/>
      <c r="IW90" s="233"/>
      <c r="IX90" s="233"/>
      <c r="IY90" s="233"/>
      <c r="IZ90" s="233"/>
      <c r="JA90" s="233"/>
      <c r="JB90" s="233"/>
      <c r="JC90" s="233"/>
      <c r="JD90" s="233"/>
      <c r="JE90" s="233"/>
      <c r="JF90" s="233"/>
      <c r="JG90" s="233"/>
      <c r="JH90" s="233"/>
      <c r="JI90" s="233"/>
      <c r="JJ90" s="233"/>
      <c r="JK90" s="233"/>
      <c r="JL90" s="233"/>
      <c r="JM90" s="233"/>
      <c r="JN90" s="233"/>
      <c r="JO90" s="233"/>
      <c r="JP90" s="233"/>
      <c r="JQ90" s="233"/>
      <c r="JR90" s="233"/>
      <c r="JS90" s="233"/>
      <c r="JT90" s="233"/>
      <c r="JU90" s="233"/>
      <c r="JV90" s="233"/>
      <c r="JW90" s="233"/>
      <c r="JX90" s="233"/>
      <c r="JY90" s="233"/>
      <c r="JZ90" s="233"/>
      <c r="KA90" s="233"/>
      <c r="KB90" s="233"/>
      <c r="KC90" s="233"/>
      <c r="KD90" s="233"/>
      <c r="KE90" s="233"/>
      <c r="KF90" s="233"/>
      <c r="KG90" s="233"/>
      <c r="KH90" s="233"/>
      <c r="KI90" s="233"/>
      <c r="KJ90" s="233"/>
      <c r="KK90" s="233"/>
      <c r="KL90" s="233"/>
      <c r="KM90" s="233"/>
      <c r="KN90" s="233"/>
      <c r="KO90" s="233"/>
      <c r="KP90" s="233"/>
      <c r="KQ90" s="233"/>
      <c r="KR90" s="233"/>
      <c r="KS90" s="233"/>
      <c r="KT90" s="233"/>
      <c r="KU90" s="233"/>
      <c r="KV90" s="233"/>
      <c r="KW90" s="233"/>
      <c r="KX90" s="233"/>
      <c r="KY90" s="233"/>
      <c r="KZ90" s="233"/>
      <c r="LA90" s="233"/>
      <c r="LB90" s="233"/>
      <c r="LC90" s="233"/>
      <c r="LD90" s="233"/>
      <c r="LE90" s="233"/>
      <c r="LF90" s="233"/>
      <c r="LG90" s="233"/>
      <c r="LH90" s="233"/>
      <c r="LI90" s="233"/>
      <c r="LJ90" s="233"/>
      <c r="LK90" s="233"/>
      <c r="LL90" s="233"/>
      <c r="LM90" s="233"/>
      <c r="LN90" s="233"/>
      <c r="LO90" s="233"/>
      <c r="LP90" s="233"/>
      <c r="LQ90" s="233"/>
      <c r="LR90" s="233"/>
      <c r="LS90" s="233"/>
      <c r="LT90" s="233"/>
      <c r="LU90" s="233"/>
      <c r="LV90" s="233"/>
      <c r="LW90" s="233"/>
      <c r="LX90" s="233"/>
      <c r="LY90" s="233"/>
      <c r="LZ90" s="233"/>
      <c r="MA90" s="233"/>
    </row>
    <row r="91" spans="1:339" s="54" customFormat="1" ht="60" hidden="1" customHeight="1" outlineLevel="1" x14ac:dyDescent="0.25">
      <c r="A91" s="50" t="s">
        <v>1304</v>
      </c>
      <c r="B91" s="50" t="s">
        <v>1494</v>
      </c>
      <c r="C91" s="50" t="s">
        <v>3143</v>
      </c>
      <c r="D91" s="50" t="s">
        <v>1507</v>
      </c>
      <c r="E91" s="160" t="s">
        <v>1490</v>
      </c>
      <c r="F91" s="90" t="s">
        <v>243</v>
      </c>
      <c r="G91" s="34"/>
      <c r="H91" s="161"/>
      <c r="I91" s="15"/>
      <c r="J91" s="17" t="str">
        <f>IF(H91&gt;0,(H91*VLOOKUP(Lookups!$K$11,Lookups!$M$10:$P$43,4,0)/VLOOKUP(I91,Lookups!$M$10:$P$43,4,0)),"")</f>
        <v/>
      </c>
      <c r="K91" s="172">
        <f>400*K4</f>
        <v>43.744350830138401</v>
      </c>
      <c r="L91" s="15" t="s">
        <v>260</v>
      </c>
      <c r="M91" s="17">
        <f>IF(K91&gt;0,(K91*VLOOKUP(Lookups!$K$11,Lookups!$M$10:$P$43,4,0)/VLOOKUP(L91,Lookups!$M$10:$P$43,4,0)),"")</f>
        <v>48.797887545775929</v>
      </c>
      <c r="N91" s="161"/>
      <c r="O91" s="15"/>
      <c r="P91" s="17" t="str">
        <f>IF(N91&gt;0,(N91*VLOOKUP(Lookups!$K$11,Lookups!$M$10:$P$43,4,0)/VLOOKUP(O91,Lookups!$M$10:$P$43,4,0)),"")</f>
        <v/>
      </c>
      <c r="Q91" s="234" t="s">
        <v>2376</v>
      </c>
      <c r="R91" s="15" t="s">
        <v>154</v>
      </c>
      <c r="S91" s="174" t="s">
        <v>2365</v>
      </c>
      <c r="T91" s="15"/>
      <c r="U91" s="90" t="s">
        <v>2401</v>
      </c>
      <c r="V91" s="233"/>
      <c r="W91" s="233"/>
      <c r="X91" s="233"/>
      <c r="Y91" s="233"/>
      <c r="Z91" s="233"/>
      <c r="AA91" s="233"/>
      <c r="AB91" s="233"/>
      <c r="AC91" s="233"/>
      <c r="AD91" s="233"/>
      <c r="AE91" s="233"/>
      <c r="AF91" s="233"/>
      <c r="AG91" s="233"/>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3"/>
      <c r="BL91" s="233"/>
      <c r="BM91" s="233"/>
      <c r="BN91" s="233"/>
      <c r="BO91" s="233"/>
      <c r="BP91" s="233"/>
      <c r="BQ91" s="233"/>
      <c r="BR91" s="233"/>
      <c r="BS91" s="233"/>
      <c r="BT91" s="233"/>
      <c r="BU91" s="233"/>
      <c r="BV91" s="233"/>
      <c r="BW91" s="233"/>
      <c r="BX91" s="233"/>
      <c r="BY91" s="233"/>
      <c r="BZ91" s="233"/>
      <c r="CA91" s="233"/>
      <c r="CB91" s="233"/>
      <c r="CC91" s="233"/>
      <c r="CD91" s="233"/>
      <c r="CE91" s="233"/>
      <c r="CF91" s="233"/>
      <c r="CG91" s="233"/>
      <c r="CH91" s="233"/>
      <c r="CI91" s="233"/>
      <c r="CJ91" s="233"/>
      <c r="CK91" s="233"/>
      <c r="CL91" s="233"/>
      <c r="CM91" s="233"/>
      <c r="CN91" s="233"/>
      <c r="CO91" s="233"/>
      <c r="CP91" s="233"/>
      <c r="CQ91" s="233"/>
      <c r="CR91" s="233"/>
      <c r="CS91" s="233"/>
      <c r="CT91" s="233"/>
      <c r="CU91" s="233"/>
      <c r="CV91" s="233"/>
      <c r="CW91" s="233"/>
      <c r="CX91" s="233"/>
      <c r="CY91" s="233"/>
      <c r="CZ91" s="233"/>
      <c r="DA91" s="233"/>
      <c r="DB91" s="233"/>
      <c r="DC91" s="233"/>
      <c r="DD91" s="233"/>
      <c r="DE91" s="233"/>
      <c r="DF91" s="233"/>
      <c r="DG91" s="233"/>
      <c r="DH91" s="233"/>
      <c r="DI91" s="233"/>
      <c r="DJ91" s="233"/>
      <c r="DK91" s="233"/>
      <c r="DL91" s="233"/>
      <c r="DM91" s="233"/>
      <c r="DN91" s="233"/>
      <c r="DO91" s="233"/>
      <c r="DP91" s="233"/>
      <c r="DQ91" s="233"/>
      <c r="DR91" s="233"/>
      <c r="DS91" s="233"/>
      <c r="DT91" s="233"/>
      <c r="DU91" s="233"/>
      <c r="DV91" s="233"/>
      <c r="DW91" s="233"/>
      <c r="DX91" s="233"/>
      <c r="DY91" s="233"/>
      <c r="DZ91" s="233"/>
      <c r="EA91" s="233"/>
      <c r="EB91" s="233"/>
      <c r="EC91" s="233"/>
      <c r="ED91" s="233"/>
      <c r="EE91" s="233"/>
      <c r="EF91" s="233"/>
      <c r="EG91" s="233"/>
      <c r="EH91" s="233"/>
      <c r="EI91" s="233"/>
      <c r="EJ91" s="233"/>
      <c r="EK91" s="233"/>
      <c r="EL91" s="233"/>
      <c r="EM91" s="233"/>
      <c r="EN91" s="233"/>
      <c r="EO91" s="233"/>
      <c r="EP91" s="233"/>
      <c r="EQ91" s="233"/>
      <c r="ER91" s="233"/>
      <c r="ES91" s="233"/>
      <c r="ET91" s="233"/>
      <c r="EU91" s="233"/>
      <c r="EV91" s="233"/>
      <c r="EW91" s="233"/>
      <c r="EX91" s="233"/>
      <c r="EY91" s="233"/>
      <c r="EZ91" s="233"/>
      <c r="FA91" s="233"/>
      <c r="FB91" s="233"/>
      <c r="FC91" s="233"/>
      <c r="FD91" s="233"/>
      <c r="FE91" s="233"/>
      <c r="FF91" s="233"/>
      <c r="FG91" s="233"/>
      <c r="FH91" s="233"/>
      <c r="FI91" s="233"/>
      <c r="FJ91" s="233"/>
      <c r="FK91" s="233"/>
      <c r="FL91" s="233"/>
      <c r="FM91" s="233"/>
      <c r="FN91" s="233"/>
      <c r="FO91" s="233"/>
      <c r="FP91" s="233"/>
      <c r="FQ91" s="233"/>
      <c r="FR91" s="233"/>
      <c r="FS91" s="233"/>
      <c r="FT91" s="233"/>
      <c r="FU91" s="233"/>
      <c r="FV91" s="233"/>
      <c r="FW91" s="233"/>
      <c r="FX91" s="233"/>
      <c r="FY91" s="233"/>
      <c r="FZ91" s="233"/>
      <c r="GA91" s="233"/>
      <c r="GB91" s="233"/>
      <c r="GC91" s="233"/>
      <c r="GD91" s="233"/>
      <c r="GE91" s="233"/>
      <c r="GF91" s="233"/>
      <c r="GG91" s="233"/>
      <c r="GH91" s="233"/>
      <c r="GI91" s="233"/>
      <c r="GJ91" s="233"/>
      <c r="GK91" s="233"/>
      <c r="GL91" s="233"/>
      <c r="GM91" s="233"/>
      <c r="GN91" s="233"/>
      <c r="GO91" s="233"/>
      <c r="GP91" s="233"/>
      <c r="GQ91" s="233"/>
      <c r="GR91" s="233"/>
      <c r="GS91" s="233"/>
      <c r="GT91" s="233"/>
      <c r="GU91" s="233"/>
      <c r="GV91" s="233"/>
      <c r="GW91" s="233"/>
      <c r="GX91" s="233"/>
      <c r="GY91" s="233"/>
      <c r="GZ91" s="233"/>
      <c r="HA91" s="233"/>
      <c r="HB91" s="233"/>
      <c r="HC91" s="233"/>
      <c r="HD91" s="233"/>
      <c r="HE91" s="233"/>
      <c r="HF91" s="233"/>
      <c r="HG91" s="233"/>
      <c r="HH91" s="233"/>
      <c r="HI91" s="233"/>
      <c r="HJ91" s="233"/>
      <c r="HK91" s="233"/>
      <c r="HL91" s="233"/>
      <c r="HM91" s="233"/>
      <c r="HN91" s="233"/>
      <c r="HO91" s="233"/>
      <c r="HP91" s="233"/>
      <c r="HQ91" s="233"/>
      <c r="HR91" s="233"/>
      <c r="HS91" s="233"/>
      <c r="HT91" s="233"/>
      <c r="HU91" s="233"/>
      <c r="HV91" s="233"/>
      <c r="HW91" s="233"/>
      <c r="HX91" s="233"/>
      <c r="HY91" s="233"/>
      <c r="HZ91" s="233"/>
      <c r="IA91" s="233"/>
      <c r="IB91" s="233"/>
      <c r="IC91" s="233"/>
      <c r="ID91" s="233"/>
      <c r="IE91" s="233"/>
      <c r="IF91" s="233"/>
      <c r="IG91" s="233"/>
      <c r="IH91" s="233"/>
      <c r="II91" s="233"/>
      <c r="IJ91" s="233"/>
      <c r="IK91" s="233"/>
      <c r="IL91" s="233"/>
      <c r="IM91" s="233"/>
      <c r="IN91" s="233"/>
      <c r="IO91" s="233"/>
      <c r="IP91" s="233"/>
      <c r="IQ91" s="233"/>
      <c r="IR91" s="233"/>
      <c r="IS91" s="233"/>
      <c r="IT91" s="233"/>
      <c r="IU91" s="233"/>
      <c r="IV91" s="233"/>
      <c r="IW91" s="233"/>
      <c r="IX91" s="233"/>
      <c r="IY91" s="233"/>
      <c r="IZ91" s="233"/>
      <c r="JA91" s="233"/>
      <c r="JB91" s="233"/>
      <c r="JC91" s="233"/>
      <c r="JD91" s="233"/>
      <c r="JE91" s="233"/>
      <c r="JF91" s="233"/>
      <c r="JG91" s="233"/>
      <c r="JH91" s="233"/>
      <c r="JI91" s="233"/>
      <c r="JJ91" s="233"/>
      <c r="JK91" s="233"/>
      <c r="JL91" s="233"/>
      <c r="JM91" s="233"/>
      <c r="JN91" s="233"/>
      <c r="JO91" s="233"/>
      <c r="JP91" s="233"/>
      <c r="JQ91" s="233"/>
      <c r="JR91" s="233"/>
      <c r="JS91" s="233"/>
      <c r="JT91" s="233"/>
      <c r="JU91" s="233"/>
      <c r="JV91" s="233"/>
      <c r="JW91" s="233"/>
      <c r="JX91" s="233"/>
      <c r="JY91" s="233"/>
      <c r="JZ91" s="233"/>
      <c r="KA91" s="233"/>
      <c r="KB91" s="233"/>
      <c r="KC91" s="233"/>
      <c r="KD91" s="233"/>
      <c r="KE91" s="233"/>
      <c r="KF91" s="233"/>
      <c r="KG91" s="233"/>
      <c r="KH91" s="233"/>
      <c r="KI91" s="233"/>
      <c r="KJ91" s="233"/>
      <c r="KK91" s="233"/>
      <c r="KL91" s="233"/>
      <c r="KM91" s="233"/>
      <c r="KN91" s="233"/>
      <c r="KO91" s="233"/>
      <c r="KP91" s="233"/>
      <c r="KQ91" s="233"/>
      <c r="KR91" s="233"/>
      <c r="KS91" s="233"/>
      <c r="KT91" s="233"/>
      <c r="KU91" s="233"/>
      <c r="KV91" s="233"/>
      <c r="KW91" s="233"/>
      <c r="KX91" s="233"/>
      <c r="KY91" s="233"/>
      <c r="KZ91" s="233"/>
      <c r="LA91" s="233"/>
      <c r="LB91" s="233"/>
      <c r="LC91" s="233"/>
      <c r="LD91" s="233"/>
      <c r="LE91" s="233"/>
      <c r="LF91" s="233"/>
      <c r="LG91" s="233"/>
      <c r="LH91" s="233"/>
      <c r="LI91" s="233"/>
      <c r="LJ91" s="233"/>
      <c r="LK91" s="233"/>
      <c r="LL91" s="233"/>
      <c r="LM91" s="233"/>
      <c r="LN91" s="233"/>
      <c r="LO91" s="233"/>
      <c r="LP91" s="233"/>
      <c r="LQ91" s="233"/>
      <c r="LR91" s="233"/>
      <c r="LS91" s="233"/>
      <c r="LT91" s="233"/>
      <c r="LU91" s="233"/>
      <c r="LV91" s="233"/>
      <c r="LW91" s="233"/>
      <c r="LX91" s="233"/>
      <c r="LY91" s="233"/>
      <c r="LZ91" s="233"/>
      <c r="MA91" s="233"/>
    </row>
    <row r="92" spans="1:339" s="54" customFormat="1" ht="60" hidden="1" customHeight="1" outlineLevel="1" x14ac:dyDescent="0.25">
      <c r="A92" s="50" t="s">
        <v>1304</v>
      </c>
      <c r="B92" s="50" t="s">
        <v>1494</v>
      </c>
      <c r="C92" s="50" t="s">
        <v>3144</v>
      </c>
      <c r="D92" s="50" t="s">
        <v>1508</v>
      </c>
      <c r="E92" s="160" t="s">
        <v>1490</v>
      </c>
      <c r="F92" s="90" t="s">
        <v>243</v>
      </c>
      <c r="G92" s="34"/>
      <c r="H92" s="161"/>
      <c r="I92" s="15"/>
      <c r="J92" s="17" t="str">
        <f>IF(H92&gt;0,(H92*VLOOKUP(Lookups!$K$11,Lookups!$M$10:$P$43,4,0)/VLOOKUP(I92,Lookups!$M$10:$P$43,4,0)),"")</f>
        <v/>
      </c>
      <c r="K92" s="198">
        <f>400*K7</f>
        <v>26.716096236281928</v>
      </c>
      <c r="L92" s="15" t="s">
        <v>260</v>
      </c>
      <c r="M92" s="169">
        <f>IF(K92&gt;0,(K92*VLOOKUP(Lookups!$K$11,Lookups!$M$10:$P$43,4,0)/VLOOKUP(L92,Lookups!$M$10:$P$43,4,0)),"")</f>
        <v>29.802455289884307</v>
      </c>
      <c r="N92" s="198">
        <f>400*N10</f>
        <v>0.79776591831501997</v>
      </c>
      <c r="O92" s="15" t="s">
        <v>260</v>
      </c>
      <c r="P92" s="169">
        <f>IF(N92&gt;0,(N92*VLOOKUP(Lookups!$K$11,Lookups!$M$10:$P$43,4,0)/VLOOKUP(O92,Lookups!$M$10:$P$43,4,0)),"")</f>
        <v>0.88992728960485623</v>
      </c>
      <c r="Q92" s="234" t="s">
        <v>2376</v>
      </c>
      <c r="R92" s="15" t="s">
        <v>154</v>
      </c>
      <c r="S92" s="174" t="s">
        <v>2383</v>
      </c>
      <c r="T92" s="15"/>
      <c r="U92" s="90" t="s">
        <v>2401</v>
      </c>
      <c r="V92" s="233"/>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233"/>
      <c r="CA92" s="233"/>
      <c r="CB92" s="233"/>
      <c r="CC92" s="233"/>
      <c r="CD92" s="233"/>
      <c r="CE92" s="233"/>
      <c r="CF92" s="233"/>
      <c r="CG92" s="233"/>
      <c r="CH92" s="233"/>
      <c r="CI92" s="233"/>
      <c r="CJ92" s="233"/>
      <c r="CK92" s="233"/>
      <c r="CL92" s="233"/>
      <c r="CM92" s="233"/>
      <c r="CN92" s="233"/>
      <c r="CO92" s="233"/>
      <c r="CP92" s="233"/>
      <c r="CQ92" s="233"/>
      <c r="CR92" s="233"/>
      <c r="CS92" s="233"/>
      <c r="CT92" s="233"/>
      <c r="CU92" s="233"/>
      <c r="CV92" s="233"/>
      <c r="CW92" s="233"/>
      <c r="CX92" s="233"/>
      <c r="CY92" s="233"/>
      <c r="CZ92" s="233"/>
      <c r="DA92" s="233"/>
      <c r="DB92" s="233"/>
      <c r="DC92" s="233"/>
      <c r="DD92" s="233"/>
      <c r="DE92" s="233"/>
      <c r="DF92" s="233"/>
      <c r="DG92" s="233"/>
      <c r="DH92" s="233"/>
      <c r="DI92" s="233"/>
      <c r="DJ92" s="233"/>
      <c r="DK92" s="233"/>
      <c r="DL92" s="233"/>
      <c r="DM92" s="233"/>
      <c r="DN92" s="233"/>
      <c r="DO92" s="233"/>
      <c r="DP92" s="233"/>
      <c r="DQ92" s="233"/>
      <c r="DR92" s="233"/>
      <c r="DS92" s="233"/>
      <c r="DT92" s="233"/>
      <c r="DU92" s="233"/>
      <c r="DV92" s="233"/>
      <c r="DW92" s="233"/>
      <c r="DX92" s="233"/>
      <c r="DY92" s="233"/>
      <c r="DZ92" s="233"/>
      <c r="EA92" s="233"/>
      <c r="EB92" s="233"/>
      <c r="EC92" s="233"/>
      <c r="ED92" s="233"/>
      <c r="EE92" s="233"/>
      <c r="EF92" s="233"/>
      <c r="EG92" s="233"/>
      <c r="EH92" s="233"/>
      <c r="EI92" s="233"/>
      <c r="EJ92" s="233"/>
      <c r="EK92" s="233"/>
      <c r="EL92" s="233"/>
      <c r="EM92" s="233"/>
      <c r="EN92" s="233"/>
      <c r="EO92" s="233"/>
      <c r="EP92" s="233"/>
      <c r="EQ92" s="233"/>
      <c r="ER92" s="233"/>
      <c r="ES92" s="233"/>
      <c r="ET92" s="233"/>
      <c r="EU92" s="233"/>
      <c r="EV92" s="233"/>
      <c r="EW92" s="233"/>
      <c r="EX92" s="233"/>
      <c r="EY92" s="233"/>
      <c r="EZ92" s="233"/>
      <c r="FA92" s="233"/>
      <c r="FB92" s="233"/>
      <c r="FC92" s="233"/>
      <c r="FD92" s="233"/>
      <c r="FE92" s="233"/>
      <c r="FF92" s="233"/>
      <c r="FG92" s="233"/>
      <c r="FH92" s="233"/>
      <c r="FI92" s="233"/>
      <c r="FJ92" s="233"/>
      <c r="FK92" s="233"/>
      <c r="FL92" s="233"/>
      <c r="FM92" s="233"/>
      <c r="FN92" s="233"/>
      <c r="FO92" s="233"/>
      <c r="FP92" s="233"/>
      <c r="FQ92" s="233"/>
      <c r="FR92" s="233"/>
      <c r="FS92" s="233"/>
      <c r="FT92" s="233"/>
      <c r="FU92" s="233"/>
      <c r="FV92" s="233"/>
      <c r="FW92" s="233"/>
      <c r="FX92" s="233"/>
      <c r="FY92" s="233"/>
      <c r="FZ92" s="233"/>
      <c r="GA92" s="233"/>
      <c r="GB92" s="233"/>
      <c r="GC92" s="233"/>
      <c r="GD92" s="233"/>
      <c r="GE92" s="233"/>
      <c r="GF92" s="233"/>
      <c r="GG92" s="233"/>
      <c r="GH92" s="233"/>
      <c r="GI92" s="233"/>
      <c r="GJ92" s="233"/>
      <c r="GK92" s="233"/>
      <c r="GL92" s="233"/>
      <c r="GM92" s="233"/>
      <c r="GN92" s="233"/>
      <c r="GO92" s="233"/>
      <c r="GP92" s="233"/>
      <c r="GQ92" s="233"/>
      <c r="GR92" s="233"/>
      <c r="GS92" s="233"/>
      <c r="GT92" s="233"/>
      <c r="GU92" s="233"/>
      <c r="GV92" s="233"/>
      <c r="GW92" s="233"/>
      <c r="GX92" s="233"/>
      <c r="GY92" s="233"/>
      <c r="GZ92" s="233"/>
      <c r="HA92" s="233"/>
      <c r="HB92" s="233"/>
      <c r="HC92" s="233"/>
      <c r="HD92" s="233"/>
      <c r="HE92" s="233"/>
      <c r="HF92" s="233"/>
      <c r="HG92" s="233"/>
      <c r="HH92" s="233"/>
      <c r="HI92" s="233"/>
      <c r="HJ92" s="233"/>
      <c r="HK92" s="233"/>
      <c r="HL92" s="233"/>
      <c r="HM92" s="233"/>
      <c r="HN92" s="233"/>
      <c r="HO92" s="233"/>
      <c r="HP92" s="233"/>
      <c r="HQ92" s="233"/>
      <c r="HR92" s="233"/>
      <c r="HS92" s="233"/>
      <c r="HT92" s="233"/>
      <c r="HU92" s="233"/>
      <c r="HV92" s="233"/>
      <c r="HW92" s="233"/>
      <c r="HX92" s="233"/>
      <c r="HY92" s="233"/>
      <c r="HZ92" s="233"/>
      <c r="IA92" s="233"/>
      <c r="IB92" s="233"/>
      <c r="IC92" s="233"/>
      <c r="ID92" s="233"/>
      <c r="IE92" s="233"/>
      <c r="IF92" s="233"/>
      <c r="IG92" s="233"/>
      <c r="IH92" s="233"/>
      <c r="II92" s="233"/>
      <c r="IJ92" s="233"/>
      <c r="IK92" s="233"/>
      <c r="IL92" s="233"/>
      <c r="IM92" s="233"/>
      <c r="IN92" s="233"/>
      <c r="IO92" s="233"/>
      <c r="IP92" s="233"/>
      <c r="IQ92" s="233"/>
      <c r="IR92" s="233"/>
      <c r="IS92" s="233"/>
      <c r="IT92" s="233"/>
      <c r="IU92" s="233"/>
      <c r="IV92" s="233"/>
      <c r="IW92" s="233"/>
      <c r="IX92" s="233"/>
      <c r="IY92" s="233"/>
      <c r="IZ92" s="233"/>
      <c r="JA92" s="233"/>
      <c r="JB92" s="233"/>
      <c r="JC92" s="233"/>
      <c r="JD92" s="233"/>
      <c r="JE92" s="233"/>
      <c r="JF92" s="233"/>
      <c r="JG92" s="233"/>
      <c r="JH92" s="233"/>
      <c r="JI92" s="233"/>
      <c r="JJ92" s="233"/>
      <c r="JK92" s="233"/>
      <c r="JL92" s="233"/>
      <c r="JM92" s="233"/>
      <c r="JN92" s="233"/>
      <c r="JO92" s="233"/>
      <c r="JP92" s="233"/>
      <c r="JQ92" s="233"/>
      <c r="JR92" s="233"/>
      <c r="JS92" s="233"/>
      <c r="JT92" s="233"/>
      <c r="JU92" s="233"/>
      <c r="JV92" s="233"/>
      <c r="JW92" s="233"/>
      <c r="JX92" s="233"/>
      <c r="JY92" s="233"/>
      <c r="JZ92" s="233"/>
      <c r="KA92" s="233"/>
      <c r="KB92" s="233"/>
      <c r="KC92" s="233"/>
      <c r="KD92" s="233"/>
      <c r="KE92" s="233"/>
      <c r="KF92" s="233"/>
      <c r="KG92" s="233"/>
      <c r="KH92" s="233"/>
      <c r="KI92" s="233"/>
      <c r="KJ92" s="233"/>
      <c r="KK92" s="233"/>
      <c r="KL92" s="233"/>
      <c r="KM92" s="233"/>
      <c r="KN92" s="233"/>
      <c r="KO92" s="233"/>
      <c r="KP92" s="233"/>
      <c r="KQ92" s="233"/>
      <c r="KR92" s="233"/>
      <c r="KS92" s="233"/>
      <c r="KT92" s="233"/>
      <c r="KU92" s="233"/>
      <c r="KV92" s="233"/>
      <c r="KW92" s="233"/>
      <c r="KX92" s="233"/>
      <c r="KY92" s="233"/>
      <c r="KZ92" s="233"/>
      <c r="LA92" s="233"/>
      <c r="LB92" s="233"/>
      <c r="LC92" s="233"/>
      <c r="LD92" s="233"/>
      <c r="LE92" s="233"/>
      <c r="LF92" s="233"/>
      <c r="LG92" s="233"/>
      <c r="LH92" s="233"/>
      <c r="LI92" s="233"/>
      <c r="LJ92" s="233"/>
      <c r="LK92" s="233"/>
      <c r="LL92" s="233"/>
      <c r="LM92" s="233"/>
      <c r="LN92" s="233"/>
      <c r="LO92" s="233"/>
      <c r="LP92" s="233"/>
      <c r="LQ92" s="233"/>
      <c r="LR92" s="233"/>
      <c r="LS92" s="233"/>
      <c r="LT92" s="233"/>
      <c r="LU92" s="233"/>
      <c r="LV92" s="233"/>
      <c r="LW92" s="233"/>
      <c r="LX92" s="233"/>
      <c r="LY92" s="233"/>
      <c r="LZ92" s="233"/>
      <c r="MA92" s="233"/>
    </row>
    <row r="93" spans="1:339" s="54" customFormat="1" ht="60" customHeight="1" x14ac:dyDescent="0.25">
      <c r="A93" s="40" t="s">
        <v>1304</v>
      </c>
      <c r="B93" s="40" t="s">
        <v>1497</v>
      </c>
      <c r="C93" s="48" t="s">
        <v>3145</v>
      </c>
      <c r="D93" s="40" t="s">
        <v>2359</v>
      </c>
      <c r="E93" s="160" t="s">
        <v>1485</v>
      </c>
      <c r="F93" s="90" t="s">
        <v>243</v>
      </c>
      <c r="G93" s="34"/>
      <c r="H93" s="161"/>
      <c r="I93" s="15"/>
      <c r="J93" s="17" t="str">
        <f>IF(H93&gt;0,(H93*VLOOKUP(Lookups!$K$11,Lookups!$M$10:$P$43,4,0)/VLOOKUP(I93,Lookups!$M$10:$P$43,4,0)),"")</f>
        <v/>
      </c>
      <c r="K93" s="161"/>
      <c r="L93" s="15"/>
      <c r="M93" s="17" t="str">
        <f>IF(K93&gt;0,(K93*VLOOKUP(Lookups!$K$11,Lookups!$M$10:$P$43,4,0)/VLOOKUP(L93,Lookups!$M$10:$P$43,4,0)),"")</f>
        <v/>
      </c>
      <c r="N93" s="161">
        <v>16940</v>
      </c>
      <c r="O93" s="15" t="s">
        <v>255</v>
      </c>
      <c r="P93" s="17">
        <f>IF(N93&gt;0,(N93*VLOOKUP(Lookups!$K$11,Lookups!$M$10:$P$43,4,0)/VLOOKUP(O93,Lookups!$M$10:$P$43,4,0)),"")</f>
        <v>20392.429320855284</v>
      </c>
      <c r="Q93" s="235" t="s">
        <v>2360</v>
      </c>
      <c r="R93" s="15" t="s">
        <v>152</v>
      </c>
      <c r="S93" s="107" t="s">
        <v>2286</v>
      </c>
      <c r="T93" s="15"/>
      <c r="U93" s="90"/>
      <c r="V93" s="233"/>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3"/>
      <c r="CB93" s="233"/>
      <c r="CC93" s="233"/>
      <c r="CD93" s="233"/>
      <c r="CE93" s="233"/>
      <c r="CF93" s="233"/>
      <c r="CG93" s="233"/>
      <c r="CH93" s="233"/>
      <c r="CI93" s="233"/>
      <c r="CJ93" s="233"/>
      <c r="CK93" s="233"/>
      <c r="CL93" s="233"/>
      <c r="CM93" s="233"/>
      <c r="CN93" s="233"/>
      <c r="CO93" s="233"/>
      <c r="CP93" s="233"/>
      <c r="CQ93" s="233"/>
      <c r="CR93" s="233"/>
      <c r="CS93" s="233"/>
      <c r="CT93" s="233"/>
      <c r="CU93" s="233"/>
      <c r="CV93" s="233"/>
      <c r="CW93" s="233"/>
      <c r="CX93" s="233"/>
      <c r="CY93" s="233"/>
      <c r="CZ93" s="233"/>
      <c r="DA93" s="233"/>
      <c r="DB93" s="233"/>
      <c r="DC93" s="233"/>
      <c r="DD93" s="233"/>
      <c r="DE93" s="233"/>
      <c r="DF93" s="233"/>
      <c r="DG93" s="233"/>
      <c r="DH93" s="233"/>
      <c r="DI93" s="233"/>
      <c r="DJ93" s="233"/>
      <c r="DK93" s="233"/>
      <c r="DL93" s="233"/>
      <c r="DM93" s="233"/>
      <c r="DN93" s="233"/>
      <c r="DO93" s="233"/>
      <c r="DP93" s="233"/>
      <c r="DQ93" s="233"/>
      <c r="DR93" s="233"/>
      <c r="DS93" s="233"/>
      <c r="DT93" s="233"/>
      <c r="DU93" s="233"/>
      <c r="DV93" s="233"/>
      <c r="DW93" s="233"/>
      <c r="DX93" s="233"/>
      <c r="DY93" s="233"/>
      <c r="DZ93" s="233"/>
      <c r="EA93" s="233"/>
      <c r="EB93" s="233"/>
      <c r="EC93" s="233"/>
      <c r="ED93" s="233"/>
      <c r="EE93" s="233"/>
      <c r="EF93" s="233"/>
      <c r="EG93" s="233"/>
      <c r="EH93" s="233"/>
      <c r="EI93" s="233"/>
      <c r="EJ93" s="233"/>
      <c r="EK93" s="233"/>
      <c r="EL93" s="233"/>
      <c r="EM93" s="233"/>
      <c r="EN93" s="233"/>
      <c r="EO93" s="233"/>
      <c r="EP93" s="233"/>
      <c r="EQ93" s="233"/>
      <c r="ER93" s="233"/>
      <c r="ES93" s="233"/>
      <c r="ET93" s="233"/>
      <c r="EU93" s="233"/>
      <c r="EV93" s="233"/>
      <c r="EW93" s="233"/>
      <c r="EX93" s="233"/>
      <c r="EY93" s="233"/>
      <c r="EZ93" s="233"/>
      <c r="FA93" s="233"/>
      <c r="FB93" s="233"/>
      <c r="FC93" s="233"/>
      <c r="FD93" s="233"/>
      <c r="FE93" s="233"/>
      <c r="FF93" s="233"/>
      <c r="FG93" s="233"/>
      <c r="FH93" s="233"/>
      <c r="FI93" s="233"/>
      <c r="FJ93" s="233"/>
      <c r="FK93" s="233"/>
      <c r="FL93" s="233"/>
      <c r="FM93" s="233"/>
      <c r="FN93" s="233"/>
      <c r="FO93" s="233"/>
      <c r="FP93" s="233"/>
      <c r="FQ93" s="233"/>
      <c r="FR93" s="233"/>
      <c r="FS93" s="233"/>
      <c r="FT93" s="233"/>
      <c r="FU93" s="233"/>
      <c r="FV93" s="233"/>
      <c r="FW93" s="233"/>
      <c r="FX93" s="233"/>
      <c r="FY93" s="233"/>
      <c r="FZ93" s="233"/>
      <c r="GA93" s="233"/>
      <c r="GB93" s="233"/>
      <c r="GC93" s="233"/>
      <c r="GD93" s="233"/>
      <c r="GE93" s="233"/>
      <c r="GF93" s="233"/>
      <c r="GG93" s="233"/>
      <c r="GH93" s="233"/>
      <c r="GI93" s="233"/>
      <c r="GJ93" s="233"/>
      <c r="GK93" s="233"/>
      <c r="GL93" s="233"/>
      <c r="GM93" s="233"/>
      <c r="GN93" s="233"/>
      <c r="GO93" s="233"/>
      <c r="GP93" s="233"/>
      <c r="GQ93" s="233"/>
      <c r="GR93" s="233"/>
      <c r="GS93" s="233"/>
      <c r="GT93" s="233"/>
      <c r="GU93" s="233"/>
      <c r="GV93" s="233"/>
      <c r="GW93" s="233"/>
      <c r="GX93" s="233"/>
      <c r="GY93" s="233"/>
      <c r="GZ93" s="233"/>
      <c r="HA93" s="233"/>
      <c r="HB93" s="233"/>
      <c r="HC93" s="233"/>
      <c r="HD93" s="233"/>
      <c r="HE93" s="233"/>
      <c r="HF93" s="233"/>
      <c r="HG93" s="233"/>
      <c r="HH93" s="233"/>
      <c r="HI93" s="233"/>
      <c r="HJ93" s="233"/>
      <c r="HK93" s="233"/>
      <c r="HL93" s="233"/>
      <c r="HM93" s="233"/>
      <c r="HN93" s="233"/>
      <c r="HO93" s="233"/>
      <c r="HP93" s="233"/>
      <c r="HQ93" s="233"/>
      <c r="HR93" s="233"/>
      <c r="HS93" s="233"/>
      <c r="HT93" s="233"/>
      <c r="HU93" s="233"/>
      <c r="HV93" s="233"/>
      <c r="HW93" s="233"/>
      <c r="HX93" s="233"/>
      <c r="HY93" s="233"/>
      <c r="HZ93" s="233"/>
      <c r="IA93" s="233"/>
      <c r="IB93" s="233"/>
      <c r="IC93" s="233"/>
      <c r="ID93" s="233"/>
      <c r="IE93" s="233"/>
      <c r="IF93" s="233"/>
      <c r="IG93" s="233"/>
      <c r="IH93" s="233"/>
      <c r="II93" s="233"/>
      <c r="IJ93" s="233"/>
      <c r="IK93" s="233"/>
      <c r="IL93" s="233"/>
      <c r="IM93" s="233"/>
      <c r="IN93" s="233"/>
      <c r="IO93" s="233"/>
      <c r="IP93" s="233"/>
      <c r="IQ93" s="233"/>
      <c r="IR93" s="233"/>
      <c r="IS93" s="233"/>
      <c r="IT93" s="233"/>
      <c r="IU93" s="233"/>
      <c r="IV93" s="233"/>
      <c r="IW93" s="233"/>
      <c r="IX93" s="233"/>
      <c r="IY93" s="233"/>
      <c r="IZ93" s="233"/>
      <c r="JA93" s="233"/>
      <c r="JB93" s="233"/>
      <c r="JC93" s="233"/>
      <c r="JD93" s="233"/>
      <c r="JE93" s="233"/>
      <c r="JF93" s="233"/>
      <c r="JG93" s="233"/>
      <c r="JH93" s="233"/>
      <c r="JI93" s="233"/>
      <c r="JJ93" s="233"/>
      <c r="JK93" s="233"/>
      <c r="JL93" s="233"/>
      <c r="JM93" s="233"/>
      <c r="JN93" s="233"/>
      <c r="JO93" s="233"/>
      <c r="JP93" s="233"/>
      <c r="JQ93" s="233"/>
      <c r="JR93" s="233"/>
      <c r="JS93" s="233"/>
      <c r="JT93" s="233"/>
      <c r="JU93" s="233"/>
      <c r="JV93" s="233"/>
      <c r="JW93" s="233"/>
      <c r="JX93" s="233"/>
      <c r="JY93" s="233"/>
      <c r="JZ93" s="233"/>
      <c r="KA93" s="233"/>
      <c r="KB93" s="233"/>
      <c r="KC93" s="233"/>
      <c r="KD93" s="233"/>
      <c r="KE93" s="233"/>
      <c r="KF93" s="233"/>
      <c r="KG93" s="233"/>
      <c r="KH93" s="233"/>
      <c r="KI93" s="233"/>
      <c r="KJ93" s="233"/>
      <c r="KK93" s="233"/>
      <c r="KL93" s="233"/>
      <c r="KM93" s="233"/>
      <c r="KN93" s="233"/>
      <c r="KO93" s="233"/>
      <c r="KP93" s="233"/>
      <c r="KQ93" s="233"/>
      <c r="KR93" s="233"/>
      <c r="KS93" s="233"/>
      <c r="KT93" s="233"/>
      <c r="KU93" s="233"/>
      <c r="KV93" s="233"/>
      <c r="KW93" s="233"/>
      <c r="KX93" s="233"/>
      <c r="KY93" s="233"/>
      <c r="KZ93" s="233"/>
      <c r="LA93" s="233"/>
      <c r="LB93" s="233"/>
      <c r="LC93" s="233"/>
      <c r="LD93" s="233"/>
      <c r="LE93" s="233"/>
      <c r="LF93" s="233"/>
      <c r="LG93" s="233"/>
      <c r="LH93" s="233"/>
      <c r="LI93" s="233"/>
      <c r="LJ93" s="233"/>
      <c r="LK93" s="233"/>
      <c r="LL93" s="233"/>
      <c r="LM93" s="233"/>
      <c r="LN93" s="233"/>
      <c r="LO93" s="233"/>
      <c r="LP93" s="233"/>
      <c r="LQ93" s="233"/>
      <c r="LR93" s="233"/>
      <c r="LS93" s="233"/>
      <c r="LT93" s="233"/>
      <c r="LU93" s="233"/>
      <c r="LV93" s="233"/>
      <c r="LW93" s="233"/>
      <c r="LX93" s="233"/>
      <c r="LY93" s="233"/>
      <c r="LZ93" s="233"/>
      <c r="MA93" s="233"/>
    </row>
    <row r="94" spans="1:339" s="54" customFormat="1" ht="60" customHeight="1" collapsed="1" x14ac:dyDescent="0.25">
      <c r="A94" s="40" t="s">
        <v>1304</v>
      </c>
      <c r="B94" s="40" t="s">
        <v>1519</v>
      </c>
      <c r="C94" s="48" t="s">
        <v>3146</v>
      </c>
      <c r="D94" s="40" t="s">
        <v>1516</v>
      </c>
      <c r="E94" s="160" t="s">
        <v>1515</v>
      </c>
      <c r="F94" s="90" t="s">
        <v>243</v>
      </c>
      <c r="G94" s="34"/>
      <c r="H94" s="161"/>
      <c r="I94" s="15"/>
      <c r="J94" s="17" t="str">
        <f>IF(H94&gt;0,(H94*VLOOKUP(Lookups!$K$11,Lookups!$M$10:$P$43,4,0)/VLOOKUP(I94,Lookups!$M$10:$P$43,4,0)),"")</f>
        <v/>
      </c>
      <c r="K94" s="161">
        <f>K95+K96</f>
        <v>870</v>
      </c>
      <c r="L94" s="15" t="s">
        <v>254</v>
      </c>
      <c r="M94" s="17">
        <f>IF(K94&gt;0,(K94*VLOOKUP(Lookups!$K$11,Lookups!$M$10:$P$43,4,0)/VLOOKUP(L94,Lookups!$M$10:$P$43,4,0)),"")</f>
        <v>1071.2983023294832</v>
      </c>
      <c r="N94" s="161"/>
      <c r="O94" s="15"/>
      <c r="P94" s="17" t="str">
        <f>IF(N94&gt;0,(N94*VLOOKUP(Lookups!$K$11,Lookups!$M$10:$P$43,4,0)/VLOOKUP(O94,Lookups!$M$10:$P$43,4,0)),"")</f>
        <v/>
      </c>
      <c r="Q94" s="235" t="s">
        <v>1514</v>
      </c>
      <c r="R94" s="15" t="s">
        <v>149</v>
      </c>
      <c r="S94" s="107" t="s">
        <v>2402</v>
      </c>
      <c r="T94" s="15"/>
      <c r="U94" s="90"/>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c r="CF94" s="233"/>
      <c r="CG94" s="233"/>
      <c r="CH94" s="233"/>
      <c r="CI94" s="233"/>
      <c r="CJ94" s="233"/>
      <c r="CK94" s="233"/>
      <c r="CL94" s="233"/>
      <c r="CM94" s="233"/>
      <c r="CN94" s="233"/>
      <c r="CO94" s="233"/>
      <c r="CP94" s="233"/>
      <c r="CQ94" s="233"/>
      <c r="CR94" s="233"/>
      <c r="CS94" s="233"/>
      <c r="CT94" s="233"/>
      <c r="CU94" s="233"/>
      <c r="CV94" s="233"/>
      <c r="CW94" s="233"/>
      <c r="CX94" s="233"/>
      <c r="CY94" s="233"/>
      <c r="CZ94" s="233"/>
      <c r="DA94" s="233"/>
      <c r="DB94" s="233"/>
      <c r="DC94" s="233"/>
      <c r="DD94" s="233"/>
      <c r="DE94" s="233"/>
      <c r="DF94" s="233"/>
      <c r="DG94" s="233"/>
      <c r="DH94" s="233"/>
      <c r="DI94" s="233"/>
      <c r="DJ94" s="233"/>
      <c r="DK94" s="233"/>
      <c r="DL94" s="233"/>
      <c r="DM94" s="233"/>
      <c r="DN94" s="233"/>
      <c r="DO94" s="233"/>
      <c r="DP94" s="233"/>
      <c r="DQ94" s="233"/>
      <c r="DR94" s="233"/>
      <c r="DS94" s="233"/>
      <c r="DT94" s="233"/>
      <c r="DU94" s="233"/>
      <c r="DV94" s="233"/>
      <c r="DW94" s="233"/>
      <c r="DX94" s="233"/>
      <c r="DY94" s="233"/>
      <c r="DZ94" s="233"/>
      <c r="EA94" s="233"/>
      <c r="EB94" s="233"/>
      <c r="EC94" s="233"/>
      <c r="ED94" s="233"/>
      <c r="EE94" s="233"/>
      <c r="EF94" s="233"/>
      <c r="EG94" s="233"/>
      <c r="EH94" s="233"/>
      <c r="EI94" s="233"/>
      <c r="EJ94" s="233"/>
      <c r="EK94" s="233"/>
      <c r="EL94" s="233"/>
      <c r="EM94" s="233"/>
      <c r="EN94" s="233"/>
      <c r="EO94" s="233"/>
      <c r="EP94" s="233"/>
      <c r="EQ94" s="233"/>
      <c r="ER94" s="233"/>
      <c r="ES94" s="233"/>
      <c r="ET94" s="233"/>
      <c r="EU94" s="233"/>
      <c r="EV94" s="233"/>
      <c r="EW94" s="233"/>
      <c r="EX94" s="233"/>
      <c r="EY94" s="233"/>
      <c r="EZ94" s="233"/>
      <c r="FA94" s="233"/>
      <c r="FB94" s="233"/>
      <c r="FC94" s="233"/>
      <c r="FD94" s="233"/>
      <c r="FE94" s="233"/>
      <c r="FF94" s="233"/>
      <c r="FG94" s="233"/>
      <c r="FH94" s="233"/>
      <c r="FI94" s="233"/>
      <c r="FJ94" s="233"/>
      <c r="FK94" s="233"/>
      <c r="FL94" s="233"/>
      <c r="FM94" s="233"/>
      <c r="FN94" s="233"/>
      <c r="FO94" s="233"/>
      <c r="FP94" s="233"/>
      <c r="FQ94" s="233"/>
      <c r="FR94" s="233"/>
      <c r="FS94" s="233"/>
      <c r="FT94" s="233"/>
      <c r="FU94" s="233"/>
      <c r="FV94" s="233"/>
      <c r="FW94" s="233"/>
      <c r="FX94" s="233"/>
      <c r="FY94" s="233"/>
      <c r="FZ94" s="233"/>
      <c r="GA94" s="233"/>
      <c r="GB94" s="233"/>
      <c r="GC94" s="233"/>
      <c r="GD94" s="233"/>
      <c r="GE94" s="233"/>
      <c r="GF94" s="233"/>
      <c r="GG94" s="233"/>
      <c r="GH94" s="233"/>
      <c r="GI94" s="233"/>
      <c r="GJ94" s="233"/>
      <c r="GK94" s="233"/>
      <c r="GL94" s="233"/>
      <c r="GM94" s="233"/>
      <c r="GN94" s="233"/>
      <c r="GO94" s="233"/>
      <c r="GP94" s="233"/>
      <c r="GQ94" s="233"/>
      <c r="GR94" s="233"/>
      <c r="GS94" s="233"/>
      <c r="GT94" s="233"/>
      <c r="GU94" s="233"/>
      <c r="GV94" s="233"/>
      <c r="GW94" s="233"/>
      <c r="GX94" s="233"/>
      <c r="GY94" s="233"/>
      <c r="GZ94" s="233"/>
      <c r="HA94" s="233"/>
      <c r="HB94" s="233"/>
      <c r="HC94" s="233"/>
      <c r="HD94" s="233"/>
      <c r="HE94" s="233"/>
      <c r="HF94" s="233"/>
      <c r="HG94" s="233"/>
      <c r="HH94" s="233"/>
      <c r="HI94" s="233"/>
      <c r="HJ94" s="233"/>
      <c r="HK94" s="233"/>
      <c r="HL94" s="233"/>
      <c r="HM94" s="233"/>
      <c r="HN94" s="233"/>
      <c r="HO94" s="233"/>
      <c r="HP94" s="233"/>
      <c r="HQ94" s="233"/>
      <c r="HR94" s="233"/>
      <c r="HS94" s="233"/>
      <c r="HT94" s="233"/>
      <c r="HU94" s="233"/>
      <c r="HV94" s="233"/>
      <c r="HW94" s="233"/>
      <c r="HX94" s="233"/>
      <c r="HY94" s="233"/>
      <c r="HZ94" s="233"/>
      <c r="IA94" s="233"/>
      <c r="IB94" s="233"/>
      <c r="IC94" s="233"/>
      <c r="ID94" s="233"/>
      <c r="IE94" s="233"/>
      <c r="IF94" s="233"/>
      <c r="IG94" s="233"/>
      <c r="IH94" s="233"/>
      <c r="II94" s="233"/>
      <c r="IJ94" s="233"/>
      <c r="IK94" s="233"/>
      <c r="IL94" s="233"/>
      <c r="IM94" s="233"/>
      <c r="IN94" s="233"/>
      <c r="IO94" s="233"/>
      <c r="IP94" s="233"/>
      <c r="IQ94" s="233"/>
      <c r="IR94" s="233"/>
      <c r="IS94" s="233"/>
      <c r="IT94" s="233"/>
      <c r="IU94" s="233"/>
      <c r="IV94" s="233"/>
      <c r="IW94" s="233"/>
      <c r="IX94" s="233"/>
      <c r="IY94" s="233"/>
      <c r="IZ94" s="233"/>
      <c r="JA94" s="233"/>
      <c r="JB94" s="233"/>
      <c r="JC94" s="233"/>
      <c r="JD94" s="233"/>
      <c r="JE94" s="233"/>
      <c r="JF94" s="233"/>
      <c r="JG94" s="233"/>
      <c r="JH94" s="233"/>
      <c r="JI94" s="233"/>
      <c r="JJ94" s="233"/>
      <c r="JK94" s="233"/>
      <c r="JL94" s="233"/>
      <c r="JM94" s="233"/>
      <c r="JN94" s="233"/>
      <c r="JO94" s="233"/>
      <c r="JP94" s="233"/>
      <c r="JQ94" s="233"/>
      <c r="JR94" s="233"/>
      <c r="JS94" s="233"/>
      <c r="JT94" s="233"/>
      <c r="JU94" s="233"/>
      <c r="JV94" s="233"/>
      <c r="JW94" s="233"/>
      <c r="JX94" s="233"/>
      <c r="JY94" s="233"/>
      <c r="JZ94" s="233"/>
      <c r="KA94" s="233"/>
      <c r="KB94" s="233"/>
      <c r="KC94" s="233"/>
      <c r="KD94" s="233"/>
      <c r="KE94" s="233"/>
      <c r="KF94" s="233"/>
      <c r="KG94" s="233"/>
      <c r="KH94" s="233"/>
      <c r="KI94" s="233"/>
      <c r="KJ94" s="233"/>
      <c r="KK94" s="233"/>
      <c r="KL94" s="233"/>
      <c r="KM94" s="233"/>
      <c r="KN94" s="233"/>
      <c r="KO94" s="233"/>
      <c r="KP94" s="233"/>
      <c r="KQ94" s="233"/>
      <c r="KR94" s="233"/>
      <c r="KS94" s="233"/>
      <c r="KT94" s="233"/>
      <c r="KU94" s="233"/>
      <c r="KV94" s="233"/>
      <c r="KW94" s="233"/>
      <c r="KX94" s="233"/>
      <c r="KY94" s="233"/>
      <c r="KZ94" s="233"/>
      <c r="LA94" s="233"/>
      <c r="LB94" s="233"/>
      <c r="LC94" s="233"/>
      <c r="LD94" s="233"/>
      <c r="LE94" s="233"/>
      <c r="LF94" s="233"/>
      <c r="LG94" s="233"/>
      <c r="LH94" s="233"/>
      <c r="LI94" s="233"/>
      <c r="LJ94" s="233"/>
      <c r="LK94" s="233"/>
      <c r="LL94" s="233"/>
      <c r="LM94" s="233"/>
      <c r="LN94" s="233"/>
      <c r="LO94" s="233"/>
      <c r="LP94" s="233"/>
      <c r="LQ94" s="233"/>
      <c r="LR94" s="233"/>
      <c r="LS94" s="233"/>
      <c r="LT94" s="233"/>
      <c r="LU94" s="233"/>
      <c r="LV94" s="233"/>
      <c r="LW94" s="233"/>
      <c r="LX94" s="233"/>
      <c r="LY94" s="233"/>
      <c r="LZ94" s="233"/>
      <c r="MA94" s="233"/>
    </row>
    <row r="95" spans="1:339" s="54" customFormat="1" ht="60" hidden="1" customHeight="1" outlineLevel="2" x14ac:dyDescent="0.25">
      <c r="A95" s="50" t="s">
        <v>1304</v>
      </c>
      <c r="B95" s="50" t="s">
        <v>1519</v>
      </c>
      <c r="C95" s="50" t="s">
        <v>3147</v>
      </c>
      <c r="D95" s="50" t="s">
        <v>1518</v>
      </c>
      <c r="E95" s="160" t="s">
        <v>1515</v>
      </c>
      <c r="F95" s="90" t="s">
        <v>243</v>
      </c>
      <c r="G95" s="34"/>
      <c r="H95" s="161"/>
      <c r="I95" s="15"/>
      <c r="J95" s="17" t="str">
        <f>IF(H95&gt;0,(H95*VLOOKUP(Lookups!$K$11,Lookups!$M$10:$P$43,4,0)/VLOOKUP(I95,Lookups!$M$10:$P$43,4,0)),"")</f>
        <v/>
      </c>
      <c r="K95" s="161">
        <v>670</v>
      </c>
      <c r="L95" s="15" t="s">
        <v>254</v>
      </c>
      <c r="M95" s="17">
        <f>IF(K95&gt;0,(K95*VLOOKUP(Lookups!$K$11,Lookups!$M$10:$P$43,4,0)/VLOOKUP(L95,Lookups!$M$10:$P$43,4,0)),"")</f>
        <v>825.02283052960217</v>
      </c>
      <c r="N95" s="161"/>
      <c r="O95" s="15"/>
      <c r="P95" s="17" t="str">
        <f>IF(N95&gt;0,(N95*VLOOKUP(Lookups!$K$11,Lookups!$M$10:$P$43,4,0)/VLOOKUP(O95,Lookups!$M$10:$P$43,4,0)),"")</f>
        <v/>
      </c>
      <c r="Q95" s="235" t="s">
        <v>1514</v>
      </c>
      <c r="R95" s="15" t="s">
        <v>149</v>
      </c>
      <c r="S95" s="107" t="s">
        <v>2403</v>
      </c>
      <c r="T95" s="15"/>
      <c r="U95" s="90"/>
      <c r="V95" s="233"/>
      <c r="W95" s="233"/>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233"/>
      <c r="CA95" s="233"/>
      <c r="CB95" s="233"/>
      <c r="CC95" s="233"/>
      <c r="CD95" s="233"/>
      <c r="CE95" s="233"/>
      <c r="CF95" s="233"/>
      <c r="CG95" s="233"/>
      <c r="CH95" s="233"/>
      <c r="CI95" s="233"/>
      <c r="CJ95" s="233"/>
      <c r="CK95" s="233"/>
      <c r="CL95" s="233"/>
      <c r="CM95" s="233"/>
      <c r="CN95" s="233"/>
      <c r="CO95" s="233"/>
      <c r="CP95" s="233"/>
      <c r="CQ95" s="233"/>
      <c r="CR95" s="233"/>
      <c r="CS95" s="233"/>
      <c r="CT95" s="233"/>
      <c r="CU95" s="233"/>
      <c r="CV95" s="233"/>
      <c r="CW95" s="233"/>
      <c r="CX95" s="233"/>
      <c r="CY95" s="233"/>
      <c r="CZ95" s="233"/>
      <c r="DA95" s="233"/>
      <c r="DB95" s="233"/>
      <c r="DC95" s="233"/>
      <c r="DD95" s="233"/>
      <c r="DE95" s="233"/>
      <c r="DF95" s="233"/>
      <c r="DG95" s="233"/>
      <c r="DH95" s="233"/>
      <c r="DI95" s="233"/>
      <c r="DJ95" s="233"/>
      <c r="DK95" s="233"/>
      <c r="DL95" s="233"/>
      <c r="DM95" s="233"/>
      <c r="DN95" s="233"/>
      <c r="DO95" s="233"/>
      <c r="DP95" s="233"/>
      <c r="DQ95" s="233"/>
      <c r="DR95" s="233"/>
      <c r="DS95" s="233"/>
      <c r="DT95" s="233"/>
      <c r="DU95" s="233"/>
      <c r="DV95" s="233"/>
      <c r="DW95" s="233"/>
      <c r="DX95" s="233"/>
      <c r="DY95" s="233"/>
      <c r="DZ95" s="233"/>
      <c r="EA95" s="233"/>
      <c r="EB95" s="233"/>
      <c r="EC95" s="233"/>
      <c r="ED95" s="233"/>
      <c r="EE95" s="233"/>
      <c r="EF95" s="233"/>
      <c r="EG95" s="233"/>
      <c r="EH95" s="233"/>
      <c r="EI95" s="233"/>
      <c r="EJ95" s="233"/>
      <c r="EK95" s="233"/>
      <c r="EL95" s="233"/>
      <c r="EM95" s="233"/>
      <c r="EN95" s="233"/>
      <c r="EO95" s="233"/>
      <c r="EP95" s="233"/>
      <c r="EQ95" s="233"/>
      <c r="ER95" s="233"/>
      <c r="ES95" s="233"/>
      <c r="ET95" s="233"/>
      <c r="EU95" s="233"/>
      <c r="EV95" s="233"/>
      <c r="EW95" s="233"/>
      <c r="EX95" s="233"/>
      <c r="EY95" s="233"/>
      <c r="EZ95" s="233"/>
      <c r="FA95" s="233"/>
      <c r="FB95" s="233"/>
      <c r="FC95" s="233"/>
      <c r="FD95" s="233"/>
      <c r="FE95" s="233"/>
      <c r="FF95" s="233"/>
      <c r="FG95" s="233"/>
      <c r="FH95" s="233"/>
      <c r="FI95" s="233"/>
      <c r="FJ95" s="233"/>
      <c r="FK95" s="233"/>
      <c r="FL95" s="233"/>
      <c r="FM95" s="233"/>
      <c r="FN95" s="233"/>
      <c r="FO95" s="233"/>
      <c r="FP95" s="233"/>
      <c r="FQ95" s="233"/>
      <c r="FR95" s="233"/>
      <c r="FS95" s="233"/>
      <c r="FT95" s="233"/>
      <c r="FU95" s="233"/>
      <c r="FV95" s="233"/>
      <c r="FW95" s="233"/>
      <c r="FX95" s="233"/>
      <c r="FY95" s="233"/>
      <c r="FZ95" s="233"/>
      <c r="GA95" s="233"/>
      <c r="GB95" s="233"/>
      <c r="GC95" s="233"/>
      <c r="GD95" s="233"/>
      <c r="GE95" s="233"/>
      <c r="GF95" s="233"/>
      <c r="GG95" s="233"/>
      <c r="GH95" s="233"/>
      <c r="GI95" s="233"/>
      <c r="GJ95" s="233"/>
      <c r="GK95" s="233"/>
      <c r="GL95" s="233"/>
      <c r="GM95" s="233"/>
      <c r="GN95" s="233"/>
      <c r="GO95" s="233"/>
      <c r="GP95" s="233"/>
      <c r="GQ95" s="233"/>
      <c r="GR95" s="233"/>
      <c r="GS95" s="233"/>
      <c r="GT95" s="233"/>
      <c r="GU95" s="233"/>
      <c r="GV95" s="233"/>
      <c r="GW95" s="233"/>
      <c r="GX95" s="233"/>
      <c r="GY95" s="233"/>
      <c r="GZ95" s="233"/>
      <c r="HA95" s="233"/>
      <c r="HB95" s="233"/>
      <c r="HC95" s="233"/>
      <c r="HD95" s="233"/>
      <c r="HE95" s="233"/>
      <c r="HF95" s="233"/>
      <c r="HG95" s="233"/>
      <c r="HH95" s="233"/>
      <c r="HI95" s="233"/>
      <c r="HJ95" s="233"/>
      <c r="HK95" s="233"/>
      <c r="HL95" s="233"/>
      <c r="HM95" s="233"/>
      <c r="HN95" s="233"/>
      <c r="HO95" s="233"/>
      <c r="HP95" s="233"/>
      <c r="HQ95" s="233"/>
      <c r="HR95" s="233"/>
      <c r="HS95" s="233"/>
      <c r="HT95" s="233"/>
      <c r="HU95" s="233"/>
      <c r="HV95" s="233"/>
      <c r="HW95" s="233"/>
      <c r="HX95" s="233"/>
      <c r="HY95" s="233"/>
      <c r="HZ95" s="233"/>
      <c r="IA95" s="233"/>
      <c r="IB95" s="233"/>
      <c r="IC95" s="233"/>
      <c r="ID95" s="233"/>
      <c r="IE95" s="233"/>
      <c r="IF95" s="233"/>
      <c r="IG95" s="233"/>
      <c r="IH95" s="233"/>
      <c r="II95" s="233"/>
      <c r="IJ95" s="233"/>
      <c r="IK95" s="233"/>
      <c r="IL95" s="233"/>
      <c r="IM95" s="233"/>
      <c r="IN95" s="233"/>
      <c r="IO95" s="233"/>
      <c r="IP95" s="233"/>
      <c r="IQ95" s="233"/>
      <c r="IR95" s="233"/>
      <c r="IS95" s="233"/>
      <c r="IT95" s="233"/>
      <c r="IU95" s="233"/>
      <c r="IV95" s="233"/>
      <c r="IW95" s="233"/>
      <c r="IX95" s="233"/>
      <c r="IY95" s="233"/>
      <c r="IZ95" s="233"/>
      <c r="JA95" s="233"/>
      <c r="JB95" s="233"/>
      <c r="JC95" s="233"/>
      <c r="JD95" s="233"/>
      <c r="JE95" s="233"/>
      <c r="JF95" s="233"/>
      <c r="JG95" s="233"/>
      <c r="JH95" s="233"/>
      <c r="JI95" s="233"/>
      <c r="JJ95" s="233"/>
      <c r="JK95" s="233"/>
      <c r="JL95" s="233"/>
      <c r="JM95" s="233"/>
      <c r="JN95" s="233"/>
      <c r="JO95" s="233"/>
      <c r="JP95" s="233"/>
      <c r="JQ95" s="233"/>
      <c r="JR95" s="233"/>
      <c r="JS95" s="233"/>
      <c r="JT95" s="233"/>
      <c r="JU95" s="233"/>
      <c r="JV95" s="233"/>
      <c r="JW95" s="233"/>
      <c r="JX95" s="233"/>
      <c r="JY95" s="233"/>
      <c r="JZ95" s="233"/>
      <c r="KA95" s="233"/>
      <c r="KB95" s="233"/>
      <c r="KC95" s="233"/>
      <c r="KD95" s="233"/>
      <c r="KE95" s="233"/>
      <c r="KF95" s="233"/>
      <c r="KG95" s="233"/>
      <c r="KH95" s="233"/>
      <c r="KI95" s="233"/>
      <c r="KJ95" s="233"/>
      <c r="KK95" s="233"/>
      <c r="KL95" s="233"/>
      <c r="KM95" s="233"/>
      <c r="KN95" s="233"/>
      <c r="KO95" s="233"/>
      <c r="KP95" s="233"/>
      <c r="KQ95" s="233"/>
      <c r="KR95" s="233"/>
      <c r="KS95" s="233"/>
      <c r="KT95" s="233"/>
      <c r="KU95" s="233"/>
      <c r="KV95" s="233"/>
      <c r="KW95" s="233"/>
      <c r="KX95" s="233"/>
      <c r="KY95" s="233"/>
      <c r="KZ95" s="233"/>
      <c r="LA95" s="233"/>
      <c r="LB95" s="233"/>
      <c r="LC95" s="233"/>
      <c r="LD95" s="233"/>
      <c r="LE95" s="233"/>
      <c r="LF95" s="233"/>
      <c r="LG95" s="233"/>
      <c r="LH95" s="233"/>
      <c r="LI95" s="233"/>
      <c r="LJ95" s="233"/>
      <c r="LK95" s="233"/>
      <c r="LL95" s="233"/>
      <c r="LM95" s="233"/>
      <c r="LN95" s="233"/>
      <c r="LO95" s="233"/>
      <c r="LP95" s="233"/>
      <c r="LQ95" s="233"/>
      <c r="LR95" s="233"/>
      <c r="LS95" s="233"/>
      <c r="LT95" s="233"/>
      <c r="LU95" s="233"/>
      <c r="LV95" s="233"/>
      <c r="LW95" s="233"/>
      <c r="LX95" s="233"/>
      <c r="LY95" s="233"/>
      <c r="LZ95" s="233"/>
      <c r="MA95" s="233"/>
    </row>
    <row r="96" spans="1:339" s="54" customFormat="1" ht="60" hidden="1" customHeight="1" outlineLevel="2" x14ac:dyDescent="0.25">
      <c r="A96" s="50" t="s">
        <v>1304</v>
      </c>
      <c r="B96" s="50" t="s">
        <v>1519</v>
      </c>
      <c r="C96" s="50" t="s">
        <v>3148</v>
      </c>
      <c r="D96" s="50" t="s">
        <v>1517</v>
      </c>
      <c r="E96" s="210" t="s">
        <v>1515</v>
      </c>
      <c r="F96" s="90" t="s">
        <v>243</v>
      </c>
      <c r="G96" s="209"/>
      <c r="H96" s="212"/>
      <c r="I96" s="213"/>
      <c r="J96" s="214" t="str">
        <f>IF(H96&gt;0,(H96*VLOOKUP(Lookups!$K$11,Lookups!$M$10:$P$43,4,0)/VLOOKUP(I96,Lookups!$M$10:$P$43,4,0)),"")</f>
        <v/>
      </c>
      <c r="K96" s="212">
        <v>200</v>
      </c>
      <c r="L96" s="213" t="s">
        <v>254</v>
      </c>
      <c r="M96" s="214">
        <f>IF(K96&gt;0,(K96*VLOOKUP(Lookups!$K$11,Lookups!$M$10:$P$43,4,0)/VLOOKUP(L96,Lookups!$M$10:$P$43,4,0)),"")</f>
        <v>246.27547179988122</v>
      </c>
      <c r="N96" s="212"/>
      <c r="O96" s="213"/>
      <c r="P96" s="214" t="str">
        <f>IF(N96&gt;0,(N96*VLOOKUP(Lookups!$K$11,Lookups!$M$10:$P$43,4,0)/VLOOKUP(O96,Lookups!$M$10:$P$43,4,0)),"")</f>
        <v/>
      </c>
      <c r="Q96" s="236" t="s">
        <v>1514</v>
      </c>
      <c r="R96" s="213" t="s">
        <v>149</v>
      </c>
      <c r="S96" s="215" t="s">
        <v>2404</v>
      </c>
      <c r="T96" s="213"/>
      <c r="U96" s="211"/>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c r="CF96" s="233"/>
      <c r="CG96" s="233"/>
      <c r="CH96" s="233"/>
      <c r="CI96" s="233"/>
      <c r="CJ96" s="233"/>
      <c r="CK96" s="233"/>
      <c r="CL96" s="233"/>
      <c r="CM96" s="233"/>
      <c r="CN96" s="233"/>
      <c r="CO96" s="233"/>
      <c r="CP96" s="233"/>
      <c r="CQ96" s="233"/>
      <c r="CR96" s="233"/>
      <c r="CS96" s="233"/>
      <c r="CT96" s="233"/>
      <c r="CU96" s="233"/>
      <c r="CV96" s="233"/>
      <c r="CW96" s="233"/>
      <c r="CX96" s="233"/>
      <c r="CY96" s="233"/>
      <c r="CZ96" s="233"/>
      <c r="DA96" s="233"/>
      <c r="DB96" s="233"/>
      <c r="DC96" s="233"/>
      <c r="DD96" s="233"/>
      <c r="DE96" s="233"/>
      <c r="DF96" s="233"/>
      <c r="DG96" s="233"/>
      <c r="DH96" s="233"/>
      <c r="DI96" s="233"/>
      <c r="DJ96" s="233"/>
      <c r="DK96" s="233"/>
      <c r="DL96" s="233"/>
      <c r="DM96" s="233"/>
      <c r="DN96" s="233"/>
      <c r="DO96" s="233"/>
      <c r="DP96" s="233"/>
      <c r="DQ96" s="233"/>
      <c r="DR96" s="233"/>
      <c r="DS96" s="233"/>
      <c r="DT96" s="233"/>
      <c r="DU96" s="233"/>
      <c r="DV96" s="233"/>
      <c r="DW96" s="233"/>
      <c r="DX96" s="233"/>
      <c r="DY96" s="233"/>
      <c r="DZ96" s="233"/>
      <c r="EA96" s="233"/>
      <c r="EB96" s="233"/>
      <c r="EC96" s="233"/>
      <c r="ED96" s="233"/>
      <c r="EE96" s="233"/>
      <c r="EF96" s="233"/>
      <c r="EG96" s="233"/>
      <c r="EH96" s="233"/>
      <c r="EI96" s="233"/>
      <c r="EJ96" s="233"/>
      <c r="EK96" s="233"/>
      <c r="EL96" s="233"/>
      <c r="EM96" s="233"/>
      <c r="EN96" s="233"/>
      <c r="EO96" s="233"/>
      <c r="EP96" s="233"/>
      <c r="EQ96" s="233"/>
      <c r="ER96" s="233"/>
      <c r="ES96" s="233"/>
      <c r="ET96" s="233"/>
      <c r="EU96" s="233"/>
      <c r="EV96" s="233"/>
      <c r="EW96" s="233"/>
      <c r="EX96" s="233"/>
      <c r="EY96" s="233"/>
      <c r="EZ96" s="233"/>
      <c r="FA96" s="233"/>
      <c r="FB96" s="233"/>
      <c r="FC96" s="233"/>
      <c r="FD96" s="233"/>
      <c r="FE96" s="233"/>
      <c r="FF96" s="233"/>
      <c r="FG96" s="233"/>
      <c r="FH96" s="233"/>
      <c r="FI96" s="233"/>
      <c r="FJ96" s="233"/>
      <c r="FK96" s="233"/>
      <c r="FL96" s="233"/>
      <c r="FM96" s="233"/>
      <c r="FN96" s="233"/>
      <c r="FO96" s="233"/>
      <c r="FP96" s="233"/>
      <c r="FQ96" s="233"/>
      <c r="FR96" s="233"/>
      <c r="FS96" s="233"/>
      <c r="FT96" s="233"/>
      <c r="FU96" s="233"/>
      <c r="FV96" s="233"/>
      <c r="FW96" s="233"/>
      <c r="FX96" s="233"/>
      <c r="FY96" s="233"/>
      <c r="FZ96" s="233"/>
      <c r="GA96" s="233"/>
      <c r="GB96" s="233"/>
      <c r="GC96" s="233"/>
      <c r="GD96" s="233"/>
      <c r="GE96" s="233"/>
      <c r="GF96" s="233"/>
      <c r="GG96" s="233"/>
      <c r="GH96" s="233"/>
      <c r="GI96" s="233"/>
      <c r="GJ96" s="233"/>
      <c r="GK96" s="233"/>
      <c r="GL96" s="233"/>
      <c r="GM96" s="233"/>
      <c r="GN96" s="233"/>
      <c r="GO96" s="233"/>
      <c r="GP96" s="233"/>
      <c r="GQ96" s="233"/>
      <c r="GR96" s="233"/>
      <c r="GS96" s="233"/>
      <c r="GT96" s="233"/>
      <c r="GU96" s="233"/>
      <c r="GV96" s="233"/>
      <c r="GW96" s="233"/>
      <c r="GX96" s="233"/>
      <c r="GY96" s="233"/>
      <c r="GZ96" s="233"/>
      <c r="HA96" s="233"/>
      <c r="HB96" s="233"/>
      <c r="HC96" s="233"/>
      <c r="HD96" s="233"/>
      <c r="HE96" s="233"/>
      <c r="HF96" s="233"/>
      <c r="HG96" s="233"/>
      <c r="HH96" s="233"/>
      <c r="HI96" s="233"/>
      <c r="HJ96" s="233"/>
      <c r="HK96" s="233"/>
      <c r="HL96" s="233"/>
      <c r="HM96" s="233"/>
      <c r="HN96" s="233"/>
      <c r="HO96" s="233"/>
      <c r="HP96" s="233"/>
      <c r="HQ96" s="233"/>
      <c r="HR96" s="233"/>
      <c r="HS96" s="233"/>
      <c r="HT96" s="233"/>
      <c r="HU96" s="233"/>
      <c r="HV96" s="233"/>
      <c r="HW96" s="233"/>
      <c r="HX96" s="233"/>
      <c r="HY96" s="233"/>
      <c r="HZ96" s="233"/>
      <c r="IA96" s="233"/>
      <c r="IB96" s="233"/>
      <c r="IC96" s="233"/>
      <c r="ID96" s="233"/>
      <c r="IE96" s="233"/>
      <c r="IF96" s="233"/>
      <c r="IG96" s="233"/>
      <c r="IH96" s="233"/>
      <c r="II96" s="233"/>
      <c r="IJ96" s="233"/>
      <c r="IK96" s="233"/>
      <c r="IL96" s="233"/>
      <c r="IM96" s="233"/>
      <c r="IN96" s="233"/>
      <c r="IO96" s="233"/>
      <c r="IP96" s="233"/>
      <c r="IQ96" s="233"/>
      <c r="IR96" s="233"/>
      <c r="IS96" s="233"/>
      <c r="IT96" s="233"/>
      <c r="IU96" s="233"/>
      <c r="IV96" s="233"/>
      <c r="IW96" s="233"/>
      <c r="IX96" s="233"/>
      <c r="IY96" s="233"/>
      <c r="IZ96" s="233"/>
      <c r="JA96" s="233"/>
      <c r="JB96" s="233"/>
      <c r="JC96" s="233"/>
      <c r="JD96" s="233"/>
      <c r="JE96" s="233"/>
      <c r="JF96" s="233"/>
      <c r="JG96" s="233"/>
      <c r="JH96" s="233"/>
      <c r="JI96" s="233"/>
      <c r="JJ96" s="233"/>
      <c r="JK96" s="233"/>
      <c r="JL96" s="233"/>
      <c r="JM96" s="233"/>
      <c r="JN96" s="233"/>
      <c r="JO96" s="233"/>
      <c r="JP96" s="233"/>
      <c r="JQ96" s="233"/>
      <c r="JR96" s="233"/>
      <c r="JS96" s="233"/>
      <c r="JT96" s="233"/>
      <c r="JU96" s="233"/>
      <c r="JV96" s="233"/>
      <c r="JW96" s="233"/>
      <c r="JX96" s="233"/>
      <c r="JY96" s="233"/>
      <c r="JZ96" s="233"/>
      <c r="KA96" s="233"/>
      <c r="KB96" s="233"/>
      <c r="KC96" s="233"/>
      <c r="KD96" s="233"/>
      <c r="KE96" s="233"/>
      <c r="KF96" s="233"/>
      <c r="KG96" s="233"/>
      <c r="KH96" s="233"/>
      <c r="KI96" s="233"/>
      <c r="KJ96" s="233"/>
      <c r="KK96" s="233"/>
      <c r="KL96" s="233"/>
      <c r="KM96" s="233"/>
      <c r="KN96" s="233"/>
      <c r="KO96" s="233"/>
      <c r="KP96" s="233"/>
      <c r="KQ96" s="233"/>
      <c r="KR96" s="233"/>
      <c r="KS96" s="233"/>
      <c r="KT96" s="233"/>
      <c r="KU96" s="233"/>
      <c r="KV96" s="233"/>
      <c r="KW96" s="233"/>
      <c r="KX96" s="233"/>
      <c r="KY96" s="233"/>
      <c r="KZ96" s="233"/>
      <c r="LA96" s="233"/>
      <c r="LB96" s="233"/>
      <c r="LC96" s="233"/>
      <c r="LD96" s="233"/>
      <c r="LE96" s="233"/>
      <c r="LF96" s="233"/>
      <c r="LG96" s="233"/>
      <c r="LH96" s="233"/>
      <c r="LI96" s="233"/>
      <c r="LJ96" s="233"/>
      <c r="LK96" s="233"/>
      <c r="LL96" s="233"/>
      <c r="LM96" s="233"/>
      <c r="LN96" s="233"/>
      <c r="LO96" s="233"/>
      <c r="LP96" s="233"/>
      <c r="LQ96" s="233"/>
      <c r="LR96" s="233"/>
      <c r="LS96" s="233"/>
      <c r="LT96" s="233"/>
      <c r="LU96" s="233"/>
      <c r="LV96" s="233"/>
      <c r="LW96" s="233"/>
      <c r="LX96" s="233"/>
      <c r="LY96" s="233"/>
      <c r="LZ96" s="233"/>
      <c r="MA96" s="233"/>
    </row>
    <row r="97" spans="1:339" s="237" customFormat="1" ht="60" customHeight="1" x14ac:dyDescent="0.25">
      <c r="A97" s="242" t="s">
        <v>1304</v>
      </c>
      <c r="B97" s="243" t="s">
        <v>661</v>
      </c>
      <c r="C97" s="48" t="s">
        <v>3149</v>
      </c>
      <c r="D97" s="245" t="s">
        <v>2446</v>
      </c>
      <c r="E97" s="100" t="s">
        <v>2445</v>
      </c>
      <c r="F97" s="101" t="s">
        <v>212</v>
      </c>
      <c r="G97" s="101"/>
      <c r="H97" s="101"/>
      <c r="I97" s="101"/>
      <c r="J97" s="101"/>
      <c r="K97" s="241">
        <v>13</v>
      </c>
      <c r="L97" s="217" t="s">
        <v>1520</v>
      </c>
      <c r="M97" s="241">
        <f>IF(K97&gt;0,(K97*VLOOKUP(Lookups!$K$11,Lookups!$M$10:$P$43,4,0)/VLOOKUP(L97,Lookups!$M$10:$P$43,4,0)),"")</f>
        <v>13.388999287879029</v>
      </c>
      <c r="N97" s="101"/>
      <c r="O97" s="101"/>
      <c r="P97" s="101"/>
      <c r="Q97" s="81" t="s">
        <v>2454</v>
      </c>
      <c r="R97" s="213" t="s">
        <v>154</v>
      </c>
      <c r="S97" s="100" t="s">
        <v>2448</v>
      </c>
      <c r="T97" s="218" t="s">
        <v>922</v>
      </c>
      <c r="U97" s="4" t="s">
        <v>2294</v>
      </c>
      <c r="V97" s="233"/>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c r="CF97" s="233"/>
      <c r="CG97" s="233"/>
      <c r="CH97" s="233"/>
      <c r="CI97" s="233"/>
      <c r="CJ97" s="233"/>
      <c r="CK97" s="233"/>
      <c r="CL97" s="233"/>
      <c r="CM97" s="233"/>
      <c r="CN97" s="233"/>
      <c r="CO97" s="233"/>
      <c r="CP97" s="233"/>
      <c r="CQ97" s="233"/>
      <c r="CR97" s="233"/>
      <c r="CS97" s="233"/>
      <c r="CT97" s="233"/>
      <c r="CU97" s="233"/>
      <c r="CV97" s="233"/>
      <c r="CW97" s="233"/>
      <c r="CX97" s="233"/>
      <c r="CY97" s="233"/>
      <c r="CZ97" s="233"/>
      <c r="DA97" s="233"/>
      <c r="DB97" s="233"/>
      <c r="DC97" s="233"/>
      <c r="DD97" s="233"/>
      <c r="DE97" s="233"/>
      <c r="DF97" s="233"/>
      <c r="DG97" s="233"/>
      <c r="DH97" s="233"/>
      <c r="DI97" s="233"/>
      <c r="DJ97" s="233"/>
      <c r="DK97" s="233"/>
      <c r="DL97" s="233"/>
      <c r="DM97" s="233"/>
      <c r="DN97" s="233"/>
      <c r="DO97" s="233"/>
      <c r="DP97" s="233"/>
      <c r="DQ97" s="233"/>
      <c r="DR97" s="233"/>
      <c r="DS97" s="233"/>
      <c r="DT97" s="233"/>
      <c r="DU97" s="233"/>
      <c r="DV97" s="233"/>
      <c r="DW97" s="233"/>
      <c r="DX97" s="233"/>
      <c r="DY97" s="233"/>
      <c r="DZ97" s="233"/>
      <c r="EA97" s="233"/>
      <c r="EB97" s="233"/>
      <c r="EC97" s="233"/>
      <c r="ED97" s="233"/>
      <c r="EE97" s="233"/>
      <c r="EF97" s="233"/>
      <c r="EG97" s="233"/>
      <c r="EH97" s="233"/>
      <c r="EI97" s="233"/>
      <c r="EJ97" s="233"/>
      <c r="EK97" s="233"/>
      <c r="EL97" s="233"/>
      <c r="EM97" s="233"/>
      <c r="EN97" s="233"/>
      <c r="EO97" s="233"/>
      <c r="EP97" s="233"/>
      <c r="EQ97" s="233"/>
      <c r="ER97" s="233"/>
      <c r="ES97" s="233"/>
      <c r="ET97" s="233"/>
      <c r="EU97" s="233"/>
      <c r="EV97" s="233"/>
      <c r="EW97" s="233"/>
      <c r="EX97" s="233"/>
      <c r="EY97" s="233"/>
      <c r="EZ97" s="233"/>
      <c r="FA97" s="233"/>
      <c r="FB97" s="233"/>
      <c r="FC97" s="233"/>
      <c r="FD97" s="233"/>
      <c r="FE97" s="233"/>
      <c r="FF97" s="233"/>
      <c r="FG97" s="233"/>
      <c r="FH97" s="233"/>
      <c r="FI97" s="233"/>
      <c r="FJ97" s="233"/>
      <c r="FK97" s="233"/>
      <c r="FL97" s="233"/>
      <c r="FM97" s="233"/>
      <c r="FN97" s="233"/>
      <c r="FO97" s="233"/>
      <c r="FP97" s="233"/>
      <c r="FQ97" s="233"/>
      <c r="FR97" s="233"/>
      <c r="FS97" s="233"/>
      <c r="FT97" s="233"/>
      <c r="FU97" s="233"/>
      <c r="FV97" s="233"/>
      <c r="FW97" s="233"/>
      <c r="FX97" s="233"/>
      <c r="FY97" s="233"/>
      <c r="FZ97" s="233"/>
      <c r="GA97" s="233"/>
      <c r="GB97" s="233"/>
      <c r="GC97" s="233"/>
      <c r="GD97" s="233"/>
      <c r="GE97" s="233"/>
      <c r="GF97" s="233"/>
      <c r="GG97" s="233"/>
      <c r="GH97" s="233"/>
      <c r="GI97" s="233"/>
      <c r="GJ97" s="233"/>
      <c r="GK97" s="233"/>
      <c r="GL97" s="233"/>
      <c r="GM97" s="233"/>
      <c r="GN97" s="233"/>
      <c r="GO97" s="233"/>
      <c r="GP97" s="233"/>
      <c r="GQ97" s="233"/>
      <c r="GR97" s="233"/>
      <c r="GS97" s="233"/>
      <c r="GT97" s="233"/>
      <c r="GU97" s="233"/>
      <c r="GV97" s="233"/>
      <c r="GW97" s="233"/>
      <c r="GX97" s="233"/>
      <c r="GY97" s="233"/>
      <c r="GZ97" s="233"/>
      <c r="HA97" s="233"/>
      <c r="HB97" s="233"/>
      <c r="HC97" s="233"/>
      <c r="HD97" s="233"/>
      <c r="HE97" s="233"/>
      <c r="HF97" s="233"/>
      <c r="HG97" s="233"/>
      <c r="HH97" s="233"/>
      <c r="HI97" s="233"/>
      <c r="HJ97" s="233"/>
      <c r="HK97" s="233"/>
      <c r="HL97" s="233"/>
      <c r="HM97" s="233"/>
      <c r="HN97" s="233"/>
      <c r="HO97" s="233"/>
      <c r="HP97" s="233"/>
      <c r="HQ97" s="233"/>
      <c r="HR97" s="233"/>
      <c r="HS97" s="233"/>
      <c r="HT97" s="233"/>
      <c r="HU97" s="233"/>
      <c r="HV97" s="233"/>
      <c r="HW97" s="233"/>
      <c r="HX97" s="233"/>
      <c r="HY97" s="233"/>
      <c r="HZ97" s="233"/>
      <c r="IA97" s="233"/>
      <c r="IB97" s="233"/>
      <c r="IC97" s="233"/>
      <c r="ID97" s="233"/>
      <c r="IE97" s="233"/>
      <c r="IF97" s="233"/>
      <c r="IG97" s="233"/>
      <c r="IH97" s="233"/>
      <c r="II97" s="233"/>
      <c r="IJ97" s="233"/>
      <c r="IK97" s="233"/>
      <c r="IL97" s="233"/>
      <c r="IM97" s="233"/>
      <c r="IN97" s="233"/>
      <c r="IO97" s="233"/>
      <c r="IP97" s="233"/>
      <c r="IQ97" s="233"/>
      <c r="IR97" s="233"/>
      <c r="IS97" s="233"/>
      <c r="IT97" s="233"/>
      <c r="IU97" s="233"/>
      <c r="IV97" s="233"/>
      <c r="IW97" s="233"/>
      <c r="IX97" s="233"/>
      <c r="IY97" s="233"/>
      <c r="IZ97" s="233"/>
      <c r="JA97" s="233"/>
      <c r="JB97" s="233"/>
      <c r="JC97" s="233"/>
      <c r="JD97" s="233"/>
      <c r="JE97" s="233"/>
      <c r="JF97" s="233"/>
      <c r="JG97" s="233"/>
      <c r="JH97" s="233"/>
      <c r="JI97" s="233"/>
      <c r="JJ97" s="233"/>
      <c r="JK97" s="233"/>
      <c r="JL97" s="233"/>
      <c r="JM97" s="233"/>
      <c r="JN97" s="233"/>
      <c r="JO97" s="233"/>
      <c r="JP97" s="233"/>
      <c r="JQ97" s="233"/>
      <c r="JR97" s="233"/>
      <c r="JS97" s="233"/>
      <c r="JT97" s="233"/>
      <c r="JU97" s="233"/>
      <c r="JV97" s="233"/>
      <c r="JW97" s="233"/>
      <c r="JX97" s="233"/>
      <c r="JY97" s="233"/>
      <c r="JZ97" s="233"/>
      <c r="KA97" s="233"/>
      <c r="KB97" s="233"/>
      <c r="KC97" s="233"/>
      <c r="KD97" s="233"/>
      <c r="KE97" s="233"/>
      <c r="KF97" s="233"/>
      <c r="KG97" s="233"/>
      <c r="KH97" s="233"/>
      <c r="KI97" s="233"/>
      <c r="KJ97" s="233"/>
      <c r="KK97" s="233"/>
      <c r="KL97" s="233"/>
      <c r="KM97" s="233"/>
      <c r="KN97" s="233"/>
      <c r="KO97" s="233"/>
      <c r="KP97" s="233"/>
      <c r="KQ97" s="233"/>
      <c r="KR97" s="233"/>
      <c r="KS97" s="233"/>
      <c r="KT97" s="233"/>
      <c r="KU97" s="233"/>
      <c r="KV97" s="233"/>
      <c r="KW97" s="233"/>
      <c r="KX97" s="233"/>
      <c r="KY97" s="233"/>
      <c r="KZ97" s="233"/>
      <c r="LA97" s="233"/>
      <c r="LB97" s="233"/>
      <c r="LC97" s="233"/>
      <c r="LD97" s="233"/>
      <c r="LE97" s="233"/>
      <c r="LF97" s="233"/>
      <c r="LG97" s="233"/>
      <c r="LH97" s="233"/>
      <c r="LI97" s="233"/>
      <c r="LJ97" s="233"/>
      <c r="LK97" s="233"/>
      <c r="LL97" s="233"/>
      <c r="LM97" s="233"/>
      <c r="LN97" s="233"/>
      <c r="LO97" s="233"/>
      <c r="LP97" s="233"/>
      <c r="LQ97" s="233"/>
      <c r="LR97" s="233"/>
      <c r="LS97" s="233"/>
      <c r="LT97" s="233"/>
      <c r="LU97" s="233"/>
      <c r="LV97" s="233"/>
      <c r="LW97" s="233"/>
      <c r="LX97" s="233"/>
      <c r="LY97" s="233"/>
      <c r="LZ97" s="233"/>
      <c r="MA97" s="233"/>
    </row>
    <row r="98" spans="1:339" s="237" customFormat="1" ht="60" customHeight="1" collapsed="1" x14ac:dyDescent="0.25">
      <c r="A98" s="242" t="s">
        <v>1304</v>
      </c>
      <c r="B98" s="243" t="s">
        <v>661</v>
      </c>
      <c r="C98" s="48" t="s">
        <v>3150</v>
      </c>
      <c r="D98" s="245" t="s">
        <v>2447</v>
      </c>
      <c r="E98" s="100" t="s">
        <v>2445</v>
      </c>
      <c r="F98" s="101" t="s">
        <v>212</v>
      </c>
      <c r="G98" s="101"/>
      <c r="H98" s="101"/>
      <c r="I98" s="101"/>
      <c r="J98" s="101"/>
      <c r="K98" s="241">
        <v>227</v>
      </c>
      <c r="L98" s="217" t="s">
        <v>1520</v>
      </c>
      <c r="M98" s="241">
        <f>IF(K98&gt;0,(K98*VLOOKUP(Lookups!$K$11,Lookups!$M$10:$P$43,4,0)/VLOOKUP(L98,Lookups!$M$10:$P$43,4,0)),"")</f>
        <v>233.79252602681075</v>
      </c>
      <c r="N98" s="101"/>
      <c r="O98" s="101"/>
      <c r="P98" s="101"/>
      <c r="Q98" s="81" t="s">
        <v>2454</v>
      </c>
      <c r="R98" s="213" t="s">
        <v>154</v>
      </c>
      <c r="S98" s="100" t="s">
        <v>2448</v>
      </c>
      <c r="T98" s="218" t="s">
        <v>922</v>
      </c>
      <c r="U98" s="4" t="s">
        <v>2294</v>
      </c>
      <c r="V98" s="233"/>
      <c r="W98" s="233"/>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c r="CF98" s="233"/>
      <c r="CG98" s="233"/>
      <c r="CH98" s="233"/>
      <c r="CI98" s="233"/>
      <c r="CJ98" s="233"/>
      <c r="CK98" s="233"/>
      <c r="CL98" s="233"/>
      <c r="CM98" s="233"/>
      <c r="CN98" s="233"/>
      <c r="CO98" s="233"/>
      <c r="CP98" s="233"/>
      <c r="CQ98" s="233"/>
      <c r="CR98" s="233"/>
      <c r="CS98" s="233"/>
      <c r="CT98" s="233"/>
      <c r="CU98" s="233"/>
      <c r="CV98" s="233"/>
      <c r="CW98" s="233"/>
      <c r="CX98" s="233"/>
      <c r="CY98" s="233"/>
      <c r="CZ98" s="233"/>
      <c r="DA98" s="233"/>
      <c r="DB98" s="233"/>
      <c r="DC98" s="233"/>
      <c r="DD98" s="233"/>
      <c r="DE98" s="233"/>
      <c r="DF98" s="233"/>
      <c r="DG98" s="233"/>
      <c r="DH98" s="233"/>
      <c r="DI98" s="233"/>
      <c r="DJ98" s="233"/>
      <c r="DK98" s="233"/>
      <c r="DL98" s="233"/>
      <c r="DM98" s="233"/>
      <c r="DN98" s="233"/>
      <c r="DO98" s="233"/>
      <c r="DP98" s="233"/>
      <c r="DQ98" s="233"/>
      <c r="DR98" s="233"/>
      <c r="DS98" s="233"/>
      <c r="DT98" s="233"/>
      <c r="DU98" s="233"/>
      <c r="DV98" s="233"/>
      <c r="DW98" s="233"/>
      <c r="DX98" s="233"/>
      <c r="DY98" s="233"/>
      <c r="DZ98" s="233"/>
      <c r="EA98" s="233"/>
      <c r="EB98" s="233"/>
      <c r="EC98" s="233"/>
      <c r="ED98" s="233"/>
      <c r="EE98" s="233"/>
      <c r="EF98" s="233"/>
      <c r="EG98" s="233"/>
      <c r="EH98" s="233"/>
      <c r="EI98" s="233"/>
      <c r="EJ98" s="233"/>
      <c r="EK98" s="233"/>
      <c r="EL98" s="233"/>
      <c r="EM98" s="233"/>
      <c r="EN98" s="233"/>
      <c r="EO98" s="233"/>
      <c r="EP98" s="233"/>
      <c r="EQ98" s="233"/>
      <c r="ER98" s="233"/>
      <c r="ES98" s="233"/>
      <c r="ET98" s="233"/>
      <c r="EU98" s="233"/>
      <c r="EV98" s="233"/>
      <c r="EW98" s="233"/>
      <c r="EX98" s="233"/>
      <c r="EY98" s="233"/>
      <c r="EZ98" s="233"/>
      <c r="FA98" s="233"/>
      <c r="FB98" s="233"/>
      <c r="FC98" s="233"/>
      <c r="FD98" s="233"/>
      <c r="FE98" s="233"/>
      <c r="FF98" s="233"/>
      <c r="FG98" s="233"/>
      <c r="FH98" s="233"/>
      <c r="FI98" s="233"/>
      <c r="FJ98" s="233"/>
      <c r="FK98" s="233"/>
      <c r="FL98" s="233"/>
      <c r="FM98" s="233"/>
      <c r="FN98" s="233"/>
      <c r="FO98" s="233"/>
      <c r="FP98" s="233"/>
      <c r="FQ98" s="233"/>
      <c r="FR98" s="233"/>
      <c r="FS98" s="233"/>
      <c r="FT98" s="233"/>
      <c r="FU98" s="233"/>
      <c r="FV98" s="233"/>
      <c r="FW98" s="233"/>
      <c r="FX98" s="233"/>
      <c r="FY98" s="233"/>
      <c r="FZ98" s="233"/>
      <c r="GA98" s="233"/>
      <c r="GB98" s="233"/>
      <c r="GC98" s="233"/>
      <c r="GD98" s="233"/>
      <c r="GE98" s="233"/>
      <c r="GF98" s="233"/>
      <c r="GG98" s="233"/>
      <c r="GH98" s="233"/>
      <c r="GI98" s="233"/>
      <c r="GJ98" s="233"/>
      <c r="GK98" s="233"/>
      <c r="GL98" s="233"/>
      <c r="GM98" s="233"/>
      <c r="GN98" s="233"/>
      <c r="GO98" s="233"/>
      <c r="GP98" s="233"/>
      <c r="GQ98" s="233"/>
      <c r="GR98" s="233"/>
      <c r="GS98" s="233"/>
      <c r="GT98" s="233"/>
      <c r="GU98" s="233"/>
      <c r="GV98" s="233"/>
      <c r="GW98" s="233"/>
      <c r="GX98" s="233"/>
      <c r="GY98" s="233"/>
      <c r="GZ98" s="233"/>
      <c r="HA98" s="233"/>
      <c r="HB98" s="233"/>
      <c r="HC98" s="233"/>
      <c r="HD98" s="233"/>
      <c r="HE98" s="233"/>
      <c r="HF98" s="233"/>
      <c r="HG98" s="233"/>
      <c r="HH98" s="233"/>
      <c r="HI98" s="233"/>
      <c r="HJ98" s="233"/>
      <c r="HK98" s="233"/>
      <c r="HL98" s="233"/>
      <c r="HM98" s="233"/>
      <c r="HN98" s="233"/>
      <c r="HO98" s="233"/>
      <c r="HP98" s="233"/>
      <c r="HQ98" s="233"/>
      <c r="HR98" s="233"/>
      <c r="HS98" s="233"/>
      <c r="HT98" s="233"/>
      <c r="HU98" s="233"/>
      <c r="HV98" s="233"/>
      <c r="HW98" s="233"/>
      <c r="HX98" s="233"/>
      <c r="HY98" s="233"/>
      <c r="HZ98" s="233"/>
      <c r="IA98" s="233"/>
      <c r="IB98" s="233"/>
      <c r="IC98" s="233"/>
      <c r="ID98" s="233"/>
      <c r="IE98" s="233"/>
      <c r="IF98" s="233"/>
      <c r="IG98" s="233"/>
      <c r="IH98" s="233"/>
      <c r="II98" s="233"/>
      <c r="IJ98" s="233"/>
      <c r="IK98" s="233"/>
      <c r="IL98" s="233"/>
      <c r="IM98" s="233"/>
      <c r="IN98" s="233"/>
      <c r="IO98" s="233"/>
      <c r="IP98" s="233"/>
      <c r="IQ98" s="233"/>
      <c r="IR98" s="233"/>
      <c r="IS98" s="233"/>
      <c r="IT98" s="233"/>
      <c r="IU98" s="233"/>
      <c r="IV98" s="233"/>
      <c r="IW98" s="233"/>
      <c r="IX98" s="233"/>
      <c r="IY98" s="233"/>
      <c r="IZ98" s="233"/>
      <c r="JA98" s="233"/>
      <c r="JB98" s="233"/>
      <c r="JC98" s="233"/>
      <c r="JD98" s="233"/>
      <c r="JE98" s="233"/>
      <c r="JF98" s="233"/>
      <c r="JG98" s="233"/>
      <c r="JH98" s="233"/>
      <c r="JI98" s="233"/>
      <c r="JJ98" s="233"/>
      <c r="JK98" s="233"/>
      <c r="JL98" s="233"/>
      <c r="JM98" s="233"/>
      <c r="JN98" s="233"/>
      <c r="JO98" s="233"/>
      <c r="JP98" s="233"/>
      <c r="JQ98" s="233"/>
      <c r="JR98" s="233"/>
      <c r="JS98" s="233"/>
      <c r="JT98" s="233"/>
      <c r="JU98" s="233"/>
      <c r="JV98" s="233"/>
      <c r="JW98" s="233"/>
      <c r="JX98" s="233"/>
      <c r="JY98" s="233"/>
      <c r="JZ98" s="233"/>
      <c r="KA98" s="233"/>
      <c r="KB98" s="233"/>
      <c r="KC98" s="233"/>
      <c r="KD98" s="233"/>
      <c r="KE98" s="233"/>
      <c r="KF98" s="233"/>
      <c r="KG98" s="233"/>
      <c r="KH98" s="233"/>
      <c r="KI98" s="233"/>
      <c r="KJ98" s="233"/>
      <c r="KK98" s="233"/>
      <c r="KL98" s="233"/>
      <c r="KM98" s="233"/>
      <c r="KN98" s="233"/>
      <c r="KO98" s="233"/>
      <c r="KP98" s="233"/>
      <c r="KQ98" s="233"/>
      <c r="KR98" s="233"/>
      <c r="KS98" s="233"/>
      <c r="KT98" s="233"/>
      <c r="KU98" s="233"/>
      <c r="KV98" s="233"/>
      <c r="KW98" s="233"/>
      <c r="KX98" s="233"/>
      <c r="KY98" s="233"/>
      <c r="KZ98" s="233"/>
      <c r="LA98" s="233"/>
      <c r="LB98" s="233"/>
      <c r="LC98" s="233"/>
      <c r="LD98" s="233"/>
      <c r="LE98" s="233"/>
      <c r="LF98" s="233"/>
      <c r="LG98" s="233"/>
      <c r="LH98" s="233"/>
      <c r="LI98" s="233"/>
      <c r="LJ98" s="233"/>
      <c r="LK98" s="233"/>
      <c r="LL98" s="233"/>
      <c r="LM98" s="233"/>
      <c r="LN98" s="233"/>
      <c r="LO98" s="233"/>
      <c r="LP98" s="233"/>
      <c r="LQ98" s="233"/>
      <c r="LR98" s="233"/>
      <c r="LS98" s="233"/>
      <c r="LT98" s="233"/>
      <c r="LU98" s="233"/>
      <c r="LV98" s="233"/>
      <c r="LW98" s="233"/>
      <c r="LX98" s="233"/>
      <c r="LY98" s="233"/>
      <c r="LZ98" s="233"/>
      <c r="MA98" s="233"/>
    </row>
    <row r="99" spans="1:339" s="237" customFormat="1" ht="60" hidden="1" customHeight="1" outlineLevel="1" x14ac:dyDescent="0.25">
      <c r="A99" s="50" t="s">
        <v>1304</v>
      </c>
      <c r="B99" s="50" t="s">
        <v>2648</v>
      </c>
      <c r="C99" s="50" t="s">
        <v>3151</v>
      </c>
      <c r="D99" s="50" t="s">
        <v>2449</v>
      </c>
      <c r="E99" s="100" t="s">
        <v>2450</v>
      </c>
      <c r="F99" s="101" t="s">
        <v>212</v>
      </c>
      <c r="G99" s="101"/>
      <c r="H99" s="101"/>
      <c r="I99" s="101"/>
      <c r="J99" s="101"/>
      <c r="K99" s="241">
        <v>96</v>
      </c>
      <c r="L99" s="217" t="s">
        <v>1520</v>
      </c>
      <c r="M99" s="241">
        <f>IF(K99&gt;0,(K99*VLOOKUP(Lookups!$K$11,Lookups!$M$10:$P$43,4,0)/VLOOKUP(L99,Lookups!$M$10:$P$43,4,0)),"")</f>
        <v>98.872610125875923</v>
      </c>
      <c r="N99" s="101"/>
      <c r="O99" s="101"/>
      <c r="P99" s="101"/>
      <c r="Q99" s="238" t="s">
        <v>2452</v>
      </c>
      <c r="R99" s="213" t="s">
        <v>154</v>
      </c>
      <c r="S99" s="160" t="s">
        <v>2451</v>
      </c>
      <c r="T99" s="218" t="s">
        <v>922</v>
      </c>
      <c r="U99" s="4" t="s">
        <v>2294</v>
      </c>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c r="CF99" s="233"/>
      <c r="CG99" s="233"/>
      <c r="CH99" s="233"/>
      <c r="CI99" s="233"/>
      <c r="CJ99" s="233"/>
      <c r="CK99" s="233"/>
      <c r="CL99" s="233"/>
      <c r="CM99" s="233"/>
      <c r="CN99" s="233"/>
      <c r="CO99" s="233"/>
      <c r="CP99" s="233"/>
      <c r="CQ99" s="233"/>
      <c r="CR99" s="233"/>
      <c r="CS99" s="233"/>
      <c r="CT99" s="233"/>
      <c r="CU99" s="233"/>
      <c r="CV99" s="233"/>
      <c r="CW99" s="233"/>
      <c r="CX99" s="233"/>
      <c r="CY99" s="233"/>
      <c r="CZ99" s="233"/>
      <c r="DA99" s="233"/>
      <c r="DB99" s="233"/>
      <c r="DC99" s="233"/>
      <c r="DD99" s="233"/>
      <c r="DE99" s="233"/>
      <c r="DF99" s="233"/>
      <c r="DG99" s="233"/>
      <c r="DH99" s="233"/>
      <c r="DI99" s="233"/>
      <c r="DJ99" s="233"/>
      <c r="DK99" s="233"/>
      <c r="DL99" s="233"/>
      <c r="DM99" s="233"/>
      <c r="DN99" s="233"/>
      <c r="DO99" s="233"/>
      <c r="DP99" s="233"/>
      <c r="DQ99" s="233"/>
      <c r="DR99" s="233"/>
      <c r="DS99" s="233"/>
      <c r="DT99" s="233"/>
      <c r="DU99" s="233"/>
      <c r="DV99" s="233"/>
      <c r="DW99" s="233"/>
      <c r="DX99" s="233"/>
      <c r="DY99" s="233"/>
      <c r="DZ99" s="233"/>
      <c r="EA99" s="233"/>
      <c r="EB99" s="233"/>
      <c r="EC99" s="233"/>
      <c r="ED99" s="233"/>
      <c r="EE99" s="233"/>
      <c r="EF99" s="233"/>
      <c r="EG99" s="233"/>
      <c r="EH99" s="233"/>
      <c r="EI99" s="233"/>
      <c r="EJ99" s="233"/>
      <c r="EK99" s="233"/>
      <c r="EL99" s="233"/>
      <c r="EM99" s="233"/>
      <c r="EN99" s="233"/>
      <c r="EO99" s="233"/>
      <c r="EP99" s="233"/>
      <c r="EQ99" s="233"/>
      <c r="ER99" s="233"/>
      <c r="ES99" s="233"/>
      <c r="ET99" s="233"/>
      <c r="EU99" s="233"/>
      <c r="EV99" s="233"/>
      <c r="EW99" s="233"/>
      <c r="EX99" s="233"/>
      <c r="EY99" s="233"/>
      <c r="EZ99" s="233"/>
      <c r="FA99" s="233"/>
      <c r="FB99" s="233"/>
      <c r="FC99" s="233"/>
      <c r="FD99" s="233"/>
      <c r="FE99" s="233"/>
      <c r="FF99" s="233"/>
      <c r="FG99" s="233"/>
      <c r="FH99" s="233"/>
      <c r="FI99" s="233"/>
      <c r="FJ99" s="233"/>
      <c r="FK99" s="233"/>
      <c r="FL99" s="233"/>
      <c r="FM99" s="233"/>
      <c r="FN99" s="233"/>
      <c r="FO99" s="233"/>
      <c r="FP99" s="233"/>
      <c r="FQ99" s="233"/>
      <c r="FR99" s="233"/>
      <c r="FS99" s="233"/>
      <c r="FT99" s="233"/>
      <c r="FU99" s="233"/>
      <c r="FV99" s="233"/>
      <c r="FW99" s="233"/>
      <c r="FX99" s="233"/>
      <c r="FY99" s="233"/>
      <c r="FZ99" s="233"/>
      <c r="GA99" s="233"/>
      <c r="GB99" s="233"/>
      <c r="GC99" s="233"/>
      <c r="GD99" s="233"/>
      <c r="GE99" s="233"/>
      <c r="GF99" s="233"/>
      <c r="GG99" s="233"/>
      <c r="GH99" s="233"/>
      <c r="GI99" s="233"/>
      <c r="GJ99" s="233"/>
      <c r="GK99" s="233"/>
      <c r="GL99" s="233"/>
      <c r="GM99" s="233"/>
      <c r="GN99" s="233"/>
      <c r="GO99" s="233"/>
      <c r="GP99" s="233"/>
      <c r="GQ99" s="233"/>
      <c r="GR99" s="233"/>
      <c r="GS99" s="233"/>
      <c r="GT99" s="233"/>
      <c r="GU99" s="233"/>
      <c r="GV99" s="233"/>
      <c r="GW99" s="233"/>
      <c r="GX99" s="233"/>
      <c r="GY99" s="233"/>
      <c r="GZ99" s="233"/>
      <c r="HA99" s="233"/>
      <c r="HB99" s="233"/>
      <c r="HC99" s="233"/>
      <c r="HD99" s="233"/>
      <c r="HE99" s="233"/>
      <c r="HF99" s="233"/>
      <c r="HG99" s="233"/>
      <c r="HH99" s="233"/>
      <c r="HI99" s="233"/>
      <c r="HJ99" s="233"/>
      <c r="HK99" s="233"/>
      <c r="HL99" s="233"/>
      <c r="HM99" s="233"/>
      <c r="HN99" s="233"/>
      <c r="HO99" s="233"/>
      <c r="HP99" s="233"/>
      <c r="HQ99" s="233"/>
      <c r="HR99" s="233"/>
      <c r="HS99" s="233"/>
      <c r="HT99" s="233"/>
      <c r="HU99" s="233"/>
      <c r="HV99" s="233"/>
      <c r="HW99" s="233"/>
      <c r="HX99" s="233"/>
      <c r="HY99" s="233"/>
      <c r="HZ99" s="233"/>
      <c r="IA99" s="233"/>
      <c r="IB99" s="233"/>
      <c r="IC99" s="233"/>
      <c r="ID99" s="233"/>
      <c r="IE99" s="233"/>
      <c r="IF99" s="233"/>
      <c r="IG99" s="233"/>
      <c r="IH99" s="233"/>
      <c r="II99" s="233"/>
      <c r="IJ99" s="233"/>
      <c r="IK99" s="233"/>
      <c r="IL99" s="233"/>
      <c r="IM99" s="233"/>
      <c r="IN99" s="233"/>
      <c r="IO99" s="233"/>
      <c r="IP99" s="233"/>
      <c r="IQ99" s="233"/>
      <c r="IR99" s="233"/>
      <c r="IS99" s="233"/>
      <c r="IT99" s="233"/>
      <c r="IU99" s="233"/>
      <c r="IV99" s="233"/>
      <c r="IW99" s="233"/>
      <c r="IX99" s="233"/>
      <c r="IY99" s="233"/>
      <c r="IZ99" s="233"/>
      <c r="JA99" s="233"/>
      <c r="JB99" s="233"/>
      <c r="JC99" s="233"/>
      <c r="JD99" s="233"/>
      <c r="JE99" s="233"/>
      <c r="JF99" s="233"/>
      <c r="JG99" s="233"/>
      <c r="JH99" s="233"/>
      <c r="JI99" s="233"/>
      <c r="JJ99" s="233"/>
      <c r="JK99" s="233"/>
      <c r="JL99" s="233"/>
      <c r="JM99" s="233"/>
      <c r="JN99" s="233"/>
      <c r="JO99" s="233"/>
      <c r="JP99" s="233"/>
      <c r="JQ99" s="233"/>
      <c r="JR99" s="233"/>
      <c r="JS99" s="233"/>
      <c r="JT99" s="233"/>
      <c r="JU99" s="233"/>
      <c r="JV99" s="233"/>
      <c r="JW99" s="233"/>
      <c r="JX99" s="233"/>
      <c r="JY99" s="233"/>
      <c r="JZ99" s="233"/>
      <c r="KA99" s="233"/>
      <c r="KB99" s="233"/>
      <c r="KC99" s="233"/>
      <c r="KD99" s="233"/>
      <c r="KE99" s="233"/>
      <c r="KF99" s="233"/>
      <c r="KG99" s="233"/>
      <c r="KH99" s="233"/>
      <c r="KI99" s="233"/>
      <c r="KJ99" s="233"/>
      <c r="KK99" s="233"/>
      <c r="KL99" s="233"/>
      <c r="KM99" s="233"/>
      <c r="KN99" s="233"/>
      <c r="KO99" s="233"/>
      <c r="KP99" s="233"/>
      <c r="KQ99" s="233"/>
      <c r="KR99" s="233"/>
      <c r="KS99" s="233"/>
      <c r="KT99" s="233"/>
      <c r="KU99" s="233"/>
      <c r="KV99" s="233"/>
      <c r="KW99" s="233"/>
      <c r="KX99" s="233"/>
      <c r="KY99" s="233"/>
      <c r="KZ99" s="233"/>
      <c r="LA99" s="233"/>
      <c r="LB99" s="233"/>
      <c r="LC99" s="233"/>
      <c r="LD99" s="233"/>
      <c r="LE99" s="233"/>
      <c r="LF99" s="233"/>
      <c r="LG99" s="233"/>
      <c r="LH99" s="233"/>
      <c r="LI99" s="233"/>
      <c r="LJ99" s="233"/>
      <c r="LK99" s="233"/>
      <c r="LL99" s="233"/>
      <c r="LM99" s="233"/>
      <c r="LN99" s="233"/>
      <c r="LO99" s="233"/>
      <c r="LP99" s="233"/>
      <c r="LQ99" s="233"/>
      <c r="LR99" s="233"/>
      <c r="LS99" s="233"/>
      <c r="LT99" s="233"/>
      <c r="LU99" s="233"/>
      <c r="LV99" s="233"/>
      <c r="LW99" s="233"/>
      <c r="LX99" s="233"/>
      <c r="LY99" s="233"/>
      <c r="LZ99" s="233"/>
      <c r="MA99" s="233"/>
    </row>
    <row r="100" spans="1:339" s="237" customFormat="1" ht="60" customHeight="1" collapsed="1" x14ac:dyDescent="0.25">
      <c r="A100" s="242" t="s">
        <v>1304</v>
      </c>
      <c r="B100" s="243" t="s">
        <v>3119</v>
      </c>
      <c r="C100" s="48" t="s">
        <v>3152</v>
      </c>
      <c r="D100" s="244" t="s">
        <v>2455</v>
      </c>
      <c r="E100" s="100" t="s">
        <v>2443</v>
      </c>
      <c r="F100" s="101" t="s">
        <v>212</v>
      </c>
      <c r="G100" s="101"/>
      <c r="H100" s="101"/>
      <c r="I100" s="101"/>
      <c r="J100" s="101"/>
      <c r="K100" s="241">
        <v>48</v>
      </c>
      <c r="L100" s="217" t="s">
        <v>1520</v>
      </c>
      <c r="M100" s="241">
        <f>IF(K100&gt;0,(K100*VLOOKUP(Lookups!$K$11,Lookups!$M$10:$P$43,4,0)/VLOOKUP(L100,Lookups!$M$10:$P$43,4,0)),"")</f>
        <v>49.436305062937961</v>
      </c>
      <c r="N100" s="101"/>
      <c r="O100" s="101"/>
      <c r="P100" s="101"/>
      <c r="Q100" s="81" t="s">
        <v>2454</v>
      </c>
      <c r="R100" s="213" t="s">
        <v>152</v>
      </c>
      <c r="S100" s="216" t="s">
        <v>3064</v>
      </c>
      <c r="T100" s="218" t="s">
        <v>922</v>
      </c>
      <c r="U100" s="4" t="s">
        <v>2294</v>
      </c>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c r="CF100" s="233"/>
      <c r="CG100" s="233"/>
      <c r="CH100" s="233"/>
      <c r="CI100" s="233"/>
      <c r="CJ100" s="233"/>
      <c r="CK100" s="233"/>
      <c r="CL100" s="233"/>
      <c r="CM100" s="233"/>
      <c r="CN100" s="233"/>
      <c r="CO100" s="233"/>
      <c r="CP100" s="233"/>
      <c r="CQ100" s="233"/>
      <c r="CR100" s="233"/>
      <c r="CS100" s="233"/>
      <c r="CT100" s="233"/>
      <c r="CU100" s="233"/>
      <c r="CV100" s="233"/>
      <c r="CW100" s="233"/>
      <c r="CX100" s="233"/>
      <c r="CY100" s="233"/>
      <c r="CZ100" s="233"/>
      <c r="DA100" s="233"/>
      <c r="DB100" s="233"/>
      <c r="DC100" s="233"/>
      <c r="DD100" s="233"/>
      <c r="DE100" s="233"/>
      <c r="DF100" s="233"/>
      <c r="DG100" s="233"/>
      <c r="DH100" s="233"/>
      <c r="DI100" s="233"/>
      <c r="DJ100" s="233"/>
      <c r="DK100" s="233"/>
      <c r="DL100" s="233"/>
      <c r="DM100" s="233"/>
      <c r="DN100" s="233"/>
      <c r="DO100" s="233"/>
      <c r="DP100" s="233"/>
      <c r="DQ100" s="233"/>
      <c r="DR100" s="233"/>
      <c r="DS100" s="233"/>
      <c r="DT100" s="233"/>
      <c r="DU100" s="233"/>
      <c r="DV100" s="233"/>
      <c r="DW100" s="233"/>
      <c r="DX100" s="233"/>
      <c r="DY100" s="233"/>
      <c r="DZ100" s="233"/>
      <c r="EA100" s="233"/>
      <c r="EB100" s="233"/>
      <c r="EC100" s="233"/>
      <c r="ED100" s="233"/>
      <c r="EE100" s="233"/>
      <c r="EF100" s="233"/>
      <c r="EG100" s="233"/>
      <c r="EH100" s="233"/>
      <c r="EI100" s="233"/>
      <c r="EJ100" s="233"/>
      <c r="EK100" s="233"/>
      <c r="EL100" s="233"/>
      <c r="EM100" s="233"/>
      <c r="EN100" s="233"/>
      <c r="EO100" s="233"/>
      <c r="EP100" s="233"/>
      <c r="EQ100" s="233"/>
      <c r="ER100" s="233"/>
      <c r="ES100" s="233"/>
      <c r="ET100" s="233"/>
      <c r="EU100" s="233"/>
      <c r="EV100" s="233"/>
      <c r="EW100" s="233"/>
      <c r="EX100" s="233"/>
      <c r="EY100" s="233"/>
      <c r="EZ100" s="233"/>
      <c r="FA100" s="233"/>
      <c r="FB100" s="233"/>
      <c r="FC100" s="233"/>
      <c r="FD100" s="233"/>
      <c r="FE100" s="233"/>
      <c r="FF100" s="233"/>
      <c r="FG100" s="233"/>
      <c r="FH100" s="233"/>
      <c r="FI100" s="233"/>
      <c r="FJ100" s="233"/>
      <c r="FK100" s="233"/>
      <c r="FL100" s="233"/>
      <c r="FM100" s="233"/>
      <c r="FN100" s="233"/>
      <c r="FO100" s="233"/>
      <c r="FP100" s="233"/>
      <c r="FQ100" s="233"/>
      <c r="FR100" s="233"/>
      <c r="FS100" s="233"/>
      <c r="FT100" s="233"/>
      <c r="FU100" s="233"/>
      <c r="FV100" s="233"/>
      <c r="FW100" s="233"/>
      <c r="FX100" s="233"/>
      <c r="FY100" s="233"/>
      <c r="FZ100" s="233"/>
      <c r="GA100" s="233"/>
      <c r="GB100" s="233"/>
      <c r="GC100" s="233"/>
      <c r="GD100" s="233"/>
      <c r="GE100" s="233"/>
      <c r="GF100" s="233"/>
      <c r="GG100" s="233"/>
      <c r="GH100" s="233"/>
      <c r="GI100" s="233"/>
      <c r="GJ100" s="233"/>
      <c r="GK100" s="233"/>
      <c r="GL100" s="233"/>
      <c r="GM100" s="233"/>
      <c r="GN100" s="233"/>
      <c r="GO100" s="233"/>
      <c r="GP100" s="233"/>
      <c r="GQ100" s="233"/>
      <c r="GR100" s="233"/>
      <c r="GS100" s="233"/>
      <c r="GT100" s="233"/>
      <c r="GU100" s="233"/>
      <c r="GV100" s="233"/>
      <c r="GW100" s="233"/>
      <c r="GX100" s="233"/>
      <c r="GY100" s="233"/>
      <c r="GZ100" s="233"/>
      <c r="HA100" s="233"/>
      <c r="HB100" s="233"/>
      <c r="HC100" s="233"/>
      <c r="HD100" s="233"/>
      <c r="HE100" s="233"/>
      <c r="HF100" s="233"/>
      <c r="HG100" s="233"/>
      <c r="HH100" s="233"/>
      <c r="HI100" s="233"/>
      <c r="HJ100" s="233"/>
      <c r="HK100" s="233"/>
      <c r="HL100" s="233"/>
      <c r="HM100" s="233"/>
      <c r="HN100" s="233"/>
      <c r="HO100" s="233"/>
      <c r="HP100" s="233"/>
      <c r="HQ100" s="233"/>
      <c r="HR100" s="233"/>
      <c r="HS100" s="233"/>
      <c r="HT100" s="233"/>
      <c r="HU100" s="233"/>
      <c r="HV100" s="233"/>
      <c r="HW100" s="233"/>
      <c r="HX100" s="233"/>
      <c r="HY100" s="233"/>
      <c r="HZ100" s="233"/>
      <c r="IA100" s="233"/>
      <c r="IB100" s="233"/>
      <c r="IC100" s="233"/>
      <c r="ID100" s="233"/>
      <c r="IE100" s="233"/>
      <c r="IF100" s="233"/>
      <c r="IG100" s="233"/>
      <c r="IH100" s="233"/>
      <c r="II100" s="233"/>
      <c r="IJ100" s="233"/>
      <c r="IK100" s="233"/>
      <c r="IL100" s="233"/>
      <c r="IM100" s="233"/>
      <c r="IN100" s="233"/>
      <c r="IO100" s="233"/>
      <c r="IP100" s="233"/>
      <c r="IQ100" s="233"/>
      <c r="IR100" s="233"/>
      <c r="IS100" s="233"/>
      <c r="IT100" s="233"/>
      <c r="IU100" s="233"/>
      <c r="IV100" s="233"/>
      <c r="IW100" s="233"/>
      <c r="IX100" s="233"/>
      <c r="IY100" s="233"/>
      <c r="IZ100" s="233"/>
      <c r="JA100" s="233"/>
      <c r="JB100" s="233"/>
      <c r="JC100" s="233"/>
      <c r="JD100" s="233"/>
      <c r="JE100" s="233"/>
      <c r="JF100" s="233"/>
      <c r="JG100" s="233"/>
      <c r="JH100" s="233"/>
      <c r="JI100" s="233"/>
      <c r="JJ100" s="233"/>
      <c r="JK100" s="233"/>
      <c r="JL100" s="233"/>
      <c r="JM100" s="233"/>
      <c r="JN100" s="233"/>
      <c r="JO100" s="233"/>
      <c r="JP100" s="233"/>
      <c r="JQ100" s="233"/>
      <c r="JR100" s="233"/>
      <c r="JS100" s="233"/>
      <c r="JT100" s="233"/>
      <c r="JU100" s="233"/>
      <c r="JV100" s="233"/>
      <c r="JW100" s="233"/>
      <c r="JX100" s="233"/>
      <c r="JY100" s="233"/>
      <c r="JZ100" s="233"/>
      <c r="KA100" s="233"/>
      <c r="KB100" s="233"/>
      <c r="KC100" s="233"/>
      <c r="KD100" s="233"/>
      <c r="KE100" s="233"/>
      <c r="KF100" s="233"/>
      <c r="KG100" s="233"/>
      <c r="KH100" s="233"/>
      <c r="KI100" s="233"/>
      <c r="KJ100" s="233"/>
      <c r="KK100" s="233"/>
      <c r="KL100" s="233"/>
      <c r="KM100" s="233"/>
      <c r="KN100" s="233"/>
      <c r="KO100" s="233"/>
      <c r="KP100" s="233"/>
      <c r="KQ100" s="233"/>
      <c r="KR100" s="233"/>
      <c r="KS100" s="233"/>
      <c r="KT100" s="233"/>
      <c r="KU100" s="233"/>
      <c r="KV100" s="233"/>
      <c r="KW100" s="233"/>
      <c r="KX100" s="233"/>
      <c r="KY100" s="233"/>
      <c r="KZ100" s="233"/>
      <c r="LA100" s="233"/>
      <c r="LB100" s="233"/>
      <c r="LC100" s="233"/>
      <c r="LD100" s="233"/>
      <c r="LE100" s="233"/>
      <c r="LF100" s="233"/>
      <c r="LG100" s="233"/>
      <c r="LH100" s="233"/>
      <c r="LI100" s="233"/>
      <c r="LJ100" s="233"/>
      <c r="LK100" s="233"/>
      <c r="LL100" s="233"/>
      <c r="LM100" s="233"/>
      <c r="LN100" s="233"/>
      <c r="LO100" s="233"/>
      <c r="LP100" s="233"/>
      <c r="LQ100" s="233"/>
      <c r="LR100" s="233"/>
      <c r="LS100" s="233"/>
      <c r="LT100" s="233"/>
      <c r="LU100" s="233"/>
      <c r="LV100" s="233"/>
      <c r="LW100" s="233"/>
      <c r="LX100" s="233"/>
      <c r="LY100" s="233"/>
      <c r="LZ100" s="233"/>
      <c r="MA100" s="233"/>
    </row>
    <row r="101" spans="1:339" s="237" customFormat="1" ht="60" hidden="1" customHeight="1" outlineLevel="1" x14ac:dyDescent="0.25">
      <c r="A101" s="50" t="s">
        <v>1304</v>
      </c>
      <c r="B101" s="50" t="s">
        <v>3119</v>
      </c>
      <c r="C101" s="50" t="s">
        <v>3153</v>
      </c>
      <c r="D101" s="50" t="s">
        <v>2457</v>
      </c>
      <c r="E101" s="100" t="s">
        <v>3171</v>
      </c>
      <c r="F101" s="101" t="s">
        <v>162</v>
      </c>
      <c r="G101" s="101"/>
      <c r="H101" s="101"/>
      <c r="I101" s="101"/>
      <c r="J101" s="101"/>
      <c r="K101" s="241">
        <v>3.36</v>
      </c>
      <c r="L101" s="217" t="s">
        <v>1520</v>
      </c>
      <c r="M101" s="241">
        <f>IF(K101&gt;0,(K101*VLOOKUP(Lookups!$K$11,Lookups!$M$10:$P$43,4,0)/VLOOKUP(L101,Lookups!$M$10:$P$43,4,0)),"")</f>
        <v>3.4605413544056569</v>
      </c>
      <c r="N101" s="101"/>
      <c r="O101" s="101"/>
      <c r="P101" s="101"/>
      <c r="Q101" s="238" t="s">
        <v>2488</v>
      </c>
      <c r="R101" s="213" t="s">
        <v>154</v>
      </c>
      <c r="S101" s="216" t="s">
        <v>2460</v>
      </c>
      <c r="T101" s="218" t="s">
        <v>922</v>
      </c>
      <c r="U101" s="4" t="s">
        <v>2294</v>
      </c>
      <c r="V101" s="233"/>
      <c r="W101" s="233"/>
      <c r="X101" s="233"/>
      <c r="Y101" s="233"/>
      <c r="Z101" s="233"/>
      <c r="AA101" s="233"/>
      <c r="AB101" s="233"/>
      <c r="AC101" s="233"/>
      <c r="AD101" s="233"/>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c r="CF101" s="233"/>
      <c r="CG101" s="233"/>
      <c r="CH101" s="233"/>
      <c r="CI101" s="233"/>
      <c r="CJ101" s="233"/>
      <c r="CK101" s="233"/>
      <c r="CL101" s="233"/>
      <c r="CM101" s="233"/>
      <c r="CN101" s="233"/>
      <c r="CO101" s="233"/>
      <c r="CP101" s="233"/>
      <c r="CQ101" s="233"/>
      <c r="CR101" s="233"/>
      <c r="CS101" s="233"/>
      <c r="CT101" s="233"/>
      <c r="CU101" s="233"/>
      <c r="CV101" s="233"/>
      <c r="CW101" s="233"/>
      <c r="CX101" s="233"/>
      <c r="CY101" s="233"/>
      <c r="CZ101" s="233"/>
      <c r="DA101" s="233"/>
      <c r="DB101" s="233"/>
      <c r="DC101" s="233"/>
      <c r="DD101" s="233"/>
      <c r="DE101" s="233"/>
      <c r="DF101" s="233"/>
      <c r="DG101" s="233"/>
      <c r="DH101" s="233"/>
      <c r="DI101" s="233"/>
      <c r="DJ101" s="233"/>
      <c r="DK101" s="233"/>
      <c r="DL101" s="233"/>
      <c r="DM101" s="233"/>
      <c r="DN101" s="233"/>
      <c r="DO101" s="233"/>
      <c r="DP101" s="233"/>
      <c r="DQ101" s="233"/>
      <c r="DR101" s="233"/>
      <c r="DS101" s="233"/>
      <c r="DT101" s="233"/>
      <c r="DU101" s="233"/>
      <c r="DV101" s="233"/>
      <c r="DW101" s="233"/>
      <c r="DX101" s="233"/>
      <c r="DY101" s="233"/>
      <c r="DZ101" s="233"/>
      <c r="EA101" s="233"/>
      <c r="EB101" s="233"/>
      <c r="EC101" s="233"/>
      <c r="ED101" s="233"/>
      <c r="EE101" s="233"/>
      <c r="EF101" s="233"/>
      <c r="EG101" s="233"/>
      <c r="EH101" s="233"/>
      <c r="EI101" s="233"/>
      <c r="EJ101" s="233"/>
      <c r="EK101" s="233"/>
      <c r="EL101" s="233"/>
      <c r="EM101" s="233"/>
      <c r="EN101" s="233"/>
      <c r="EO101" s="233"/>
      <c r="EP101" s="233"/>
      <c r="EQ101" s="233"/>
      <c r="ER101" s="233"/>
      <c r="ES101" s="233"/>
      <c r="ET101" s="233"/>
      <c r="EU101" s="233"/>
      <c r="EV101" s="233"/>
      <c r="EW101" s="233"/>
      <c r="EX101" s="233"/>
      <c r="EY101" s="233"/>
      <c r="EZ101" s="233"/>
      <c r="FA101" s="233"/>
      <c r="FB101" s="233"/>
      <c r="FC101" s="233"/>
      <c r="FD101" s="233"/>
      <c r="FE101" s="233"/>
      <c r="FF101" s="233"/>
      <c r="FG101" s="233"/>
      <c r="FH101" s="233"/>
      <c r="FI101" s="233"/>
      <c r="FJ101" s="233"/>
      <c r="FK101" s="233"/>
      <c r="FL101" s="233"/>
      <c r="FM101" s="233"/>
      <c r="FN101" s="233"/>
      <c r="FO101" s="233"/>
      <c r="FP101" s="233"/>
      <c r="FQ101" s="233"/>
      <c r="FR101" s="233"/>
      <c r="FS101" s="233"/>
      <c r="FT101" s="233"/>
      <c r="FU101" s="233"/>
      <c r="FV101" s="233"/>
      <c r="FW101" s="233"/>
      <c r="FX101" s="233"/>
      <c r="FY101" s="233"/>
      <c r="FZ101" s="233"/>
      <c r="GA101" s="233"/>
      <c r="GB101" s="233"/>
      <c r="GC101" s="233"/>
      <c r="GD101" s="233"/>
      <c r="GE101" s="233"/>
      <c r="GF101" s="233"/>
      <c r="GG101" s="233"/>
      <c r="GH101" s="233"/>
      <c r="GI101" s="233"/>
      <c r="GJ101" s="233"/>
      <c r="GK101" s="233"/>
      <c r="GL101" s="233"/>
      <c r="GM101" s="233"/>
      <c r="GN101" s="233"/>
      <c r="GO101" s="233"/>
      <c r="GP101" s="233"/>
      <c r="GQ101" s="233"/>
      <c r="GR101" s="233"/>
      <c r="GS101" s="233"/>
      <c r="GT101" s="233"/>
      <c r="GU101" s="233"/>
      <c r="GV101" s="233"/>
      <c r="GW101" s="233"/>
      <c r="GX101" s="233"/>
      <c r="GY101" s="233"/>
      <c r="GZ101" s="233"/>
      <c r="HA101" s="233"/>
      <c r="HB101" s="233"/>
      <c r="HC101" s="233"/>
      <c r="HD101" s="233"/>
      <c r="HE101" s="233"/>
      <c r="HF101" s="233"/>
      <c r="HG101" s="233"/>
      <c r="HH101" s="233"/>
      <c r="HI101" s="233"/>
      <c r="HJ101" s="233"/>
      <c r="HK101" s="233"/>
      <c r="HL101" s="233"/>
      <c r="HM101" s="233"/>
      <c r="HN101" s="233"/>
      <c r="HO101" s="233"/>
      <c r="HP101" s="233"/>
      <c r="HQ101" s="233"/>
      <c r="HR101" s="233"/>
      <c r="HS101" s="233"/>
      <c r="HT101" s="233"/>
      <c r="HU101" s="233"/>
      <c r="HV101" s="233"/>
      <c r="HW101" s="233"/>
      <c r="HX101" s="233"/>
      <c r="HY101" s="233"/>
      <c r="HZ101" s="233"/>
      <c r="IA101" s="233"/>
      <c r="IB101" s="233"/>
      <c r="IC101" s="233"/>
      <c r="ID101" s="233"/>
      <c r="IE101" s="233"/>
      <c r="IF101" s="233"/>
      <c r="IG101" s="233"/>
      <c r="IH101" s="233"/>
      <c r="II101" s="233"/>
      <c r="IJ101" s="233"/>
      <c r="IK101" s="233"/>
      <c r="IL101" s="233"/>
      <c r="IM101" s="233"/>
      <c r="IN101" s="233"/>
      <c r="IO101" s="233"/>
      <c r="IP101" s="233"/>
      <c r="IQ101" s="233"/>
      <c r="IR101" s="233"/>
      <c r="IS101" s="233"/>
      <c r="IT101" s="233"/>
      <c r="IU101" s="233"/>
      <c r="IV101" s="233"/>
      <c r="IW101" s="233"/>
      <c r="IX101" s="233"/>
      <c r="IY101" s="233"/>
      <c r="IZ101" s="233"/>
      <c r="JA101" s="233"/>
      <c r="JB101" s="233"/>
      <c r="JC101" s="233"/>
      <c r="JD101" s="233"/>
      <c r="JE101" s="233"/>
      <c r="JF101" s="233"/>
      <c r="JG101" s="233"/>
      <c r="JH101" s="233"/>
      <c r="JI101" s="233"/>
      <c r="JJ101" s="233"/>
      <c r="JK101" s="233"/>
      <c r="JL101" s="233"/>
      <c r="JM101" s="233"/>
      <c r="JN101" s="233"/>
      <c r="JO101" s="233"/>
      <c r="JP101" s="233"/>
      <c r="JQ101" s="233"/>
      <c r="JR101" s="233"/>
      <c r="JS101" s="233"/>
      <c r="JT101" s="233"/>
      <c r="JU101" s="233"/>
      <c r="JV101" s="233"/>
      <c r="JW101" s="233"/>
      <c r="JX101" s="233"/>
      <c r="JY101" s="233"/>
      <c r="JZ101" s="233"/>
      <c r="KA101" s="233"/>
      <c r="KB101" s="233"/>
      <c r="KC101" s="233"/>
      <c r="KD101" s="233"/>
      <c r="KE101" s="233"/>
      <c r="KF101" s="233"/>
      <c r="KG101" s="233"/>
      <c r="KH101" s="233"/>
      <c r="KI101" s="233"/>
      <c r="KJ101" s="233"/>
      <c r="KK101" s="233"/>
      <c r="KL101" s="233"/>
      <c r="KM101" s="233"/>
      <c r="KN101" s="233"/>
      <c r="KO101" s="233"/>
      <c r="KP101" s="233"/>
      <c r="KQ101" s="233"/>
      <c r="KR101" s="233"/>
      <c r="KS101" s="233"/>
      <c r="KT101" s="233"/>
      <c r="KU101" s="233"/>
      <c r="KV101" s="233"/>
      <c r="KW101" s="233"/>
      <c r="KX101" s="233"/>
      <c r="KY101" s="233"/>
      <c r="KZ101" s="233"/>
      <c r="LA101" s="233"/>
      <c r="LB101" s="233"/>
      <c r="LC101" s="233"/>
      <c r="LD101" s="233"/>
      <c r="LE101" s="233"/>
      <c r="LF101" s="233"/>
      <c r="LG101" s="233"/>
      <c r="LH101" s="233"/>
      <c r="LI101" s="233"/>
      <c r="LJ101" s="233"/>
      <c r="LK101" s="233"/>
      <c r="LL101" s="233"/>
      <c r="LM101" s="233"/>
      <c r="LN101" s="233"/>
      <c r="LO101" s="233"/>
      <c r="LP101" s="233"/>
      <c r="LQ101" s="233"/>
      <c r="LR101" s="233"/>
      <c r="LS101" s="233"/>
      <c r="LT101" s="233"/>
      <c r="LU101" s="233"/>
      <c r="LV101" s="233"/>
      <c r="LW101" s="233"/>
      <c r="LX101" s="233"/>
      <c r="LY101" s="233"/>
      <c r="LZ101" s="233"/>
      <c r="MA101" s="233"/>
    </row>
    <row r="102" spans="1:339" s="237" customFormat="1" ht="60" customHeight="1" collapsed="1" x14ac:dyDescent="0.25">
      <c r="A102" s="242" t="s">
        <v>1304</v>
      </c>
      <c r="B102" s="243" t="s">
        <v>3119</v>
      </c>
      <c r="C102" s="48" t="s">
        <v>3154</v>
      </c>
      <c r="D102" s="244" t="s">
        <v>2456</v>
      </c>
      <c r="E102" s="100" t="s">
        <v>2443</v>
      </c>
      <c r="F102" s="101" t="s">
        <v>212</v>
      </c>
      <c r="G102" s="101"/>
      <c r="H102" s="101"/>
      <c r="I102" s="101"/>
      <c r="J102" s="101"/>
      <c r="K102" s="241">
        <v>120067</v>
      </c>
      <c r="L102" s="217" t="s">
        <v>1520</v>
      </c>
      <c r="M102" s="241">
        <f>IF(K102&gt;0,(K102*VLOOKUP(Lookups!$K$11,Lookups!$M$10:$P$43,4,0)/VLOOKUP(L102,Lookups!$M$10:$P$43,4,0)),"")</f>
        <v>123659.76749982858</v>
      </c>
      <c r="N102" s="101"/>
      <c r="O102" s="101"/>
      <c r="P102" s="101"/>
      <c r="Q102" s="81" t="s">
        <v>2454</v>
      </c>
      <c r="R102" s="213" t="s">
        <v>152</v>
      </c>
      <c r="S102" s="216" t="s">
        <v>3064</v>
      </c>
      <c r="T102" s="218" t="s">
        <v>922</v>
      </c>
      <c r="U102" s="4" t="s">
        <v>2294</v>
      </c>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c r="CF102" s="233"/>
      <c r="CG102" s="233"/>
      <c r="CH102" s="233"/>
      <c r="CI102" s="233"/>
      <c r="CJ102" s="233"/>
      <c r="CK102" s="233"/>
      <c r="CL102" s="233"/>
      <c r="CM102" s="233"/>
      <c r="CN102" s="233"/>
      <c r="CO102" s="233"/>
      <c r="CP102" s="233"/>
      <c r="CQ102" s="233"/>
      <c r="CR102" s="233"/>
      <c r="CS102" s="233"/>
      <c r="CT102" s="233"/>
      <c r="CU102" s="233"/>
      <c r="CV102" s="233"/>
      <c r="CW102" s="233"/>
      <c r="CX102" s="233"/>
      <c r="CY102" s="233"/>
      <c r="CZ102" s="233"/>
      <c r="DA102" s="233"/>
      <c r="DB102" s="233"/>
      <c r="DC102" s="233"/>
      <c r="DD102" s="233"/>
      <c r="DE102" s="233"/>
      <c r="DF102" s="233"/>
      <c r="DG102" s="233"/>
      <c r="DH102" s="233"/>
      <c r="DI102" s="233"/>
      <c r="DJ102" s="233"/>
      <c r="DK102" s="233"/>
      <c r="DL102" s="233"/>
      <c r="DM102" s="233"/>
      <c r="DN102" s="233"/>
      <c r="DO102" s="233"/>
      <c r="DP102" s="233"/>
      <c r="DQ102" s="233"/>
      <c r="DR102" s="233"/>
      <c r="DS102" s="233"/>
      <c r="DT102" s="233"/>
      <c r="DU102" s="233"/>
      <c r="DV102" s="233"/>
      <c r="DW102" s="233"/>
      <c r="DX102" s="233"/>
      <c r="DY102" s="233"/>
      <c r="DZ102" s="233"/>
      <c r="EA102" s="233"/>
      <c r="EB102" s="233"/>
      <c r="EC102" s="233"/>
      <c r="ED102" s="233"/>
      <c r="EE102" s="233"/>
      <c r="EF102" s="233"/>
      <c r="EG102" s="233"/>
      <c r="EH102" s="233"/>
      <c r="EI102" s="233"/>
      <c r="EJ102" s="233"/>
      <c r="EK102" s="233"/>
      <c r="EL102" s="233"/>
      <c r="EM102" s="233"/>
      <c r="EN102" s="233"/>
      <c r="EO102" s="233"/>
      <c r="EP102" s="233"/>
      <c r="EQ102" s="233"/>
      <c r="ER102" s="233"/>
      <c r="ES102" s="233"/>
      <c r="ET102" s="233"/>
      <c r="EU102" s="233"/>
      <c r="EV102" s="233"/>
      <c r="EW102" s="233"/>
      <c r="EX102" s="233"/>
      <c r="EY102" s="233"/>
      <c r="EZ102" s="233"/>
      <c r="FA102" s="233"/>
      <c r="FB102" s="233"/>
      <c r="FC102" s="233"/>
      <c r="FD102" s="233"/>
      <c r="FE102" s="233"/>
      <c r="FF102" s="233"/>
      <c r="FG102" s="233"/>
      <c r="FH102" s="233"/>
      <c r="FI102" s="233"/>
      <c r="FJ102" s="233"/>
      <c r="FK102" s="233"/>
      <c r="FL102" s="233"/>
      <c r="FM102" s="233"/>
      <c r="FN102" s="233"/>
      <c r="FO102" s="233"/>
      <c r="FP102" s="233"/>
      <c r="FQ102" s="233"/>
      <c r="FR102" s="233"/>
      <c r="FS102" s="233"/>
      <c r="FT102" s="233"/>
      <c r="FU102" s="233"/>
      <c r="FV102" s="233"/>
      <c r="FW102" s="233"/>
      <c r="FX102" s="233"/>
      <c r="FY102" s="233"/>
      <c r="FZ102" s="233"/>
      <c r="GA102" s="233"/>
      <c r="GB102" s="233"/>
      <c r="GC102" s="233"/>
      <c r="GD102" s="233"/>
      <c r="GE102" s="233"/>
      <c r="GF102" s="233"/>
      <c r="GG102" s="233"/>
      <c r="GH102" s="233"/>
      <c r="GI102" s="233"/>
      <c r="GJ102" s="233"/>
      <c r="GK102" s="233"/>
      <c r="GL102" s="233"/>
      <c r="GM102" s="233"/>
      <c r="GN102" s="233"/>
      <c r="GO102" s="233"/>
      <c r="GP102" s="233"/>
      <c r="GQ102" s="233"/>
      <c r="GR102" s="233"/>
      <c r="GS102" s="233"/>
      <c r="GT102" s="233"/>
      <c r="GU102" s="233"/>
      <c r="GV102" s="233"/>
      <c r="GW102" s="233"/>
      <c r="GX102" s="233"/>
      <c r="GY102" s="233"/>
      <c r="GZ102" s="233"/>
      <c r="HA102" s="233"/>
      <c r="HB102" s="233"/>
      <c r="HC102" s="233"/>
      <c r="HD102" s="233"/>
      <c r="HE102" s="233"/>
      <c r="HF102" s="233"/>
      <c r="HG102" s="233"/>
      <c r="HH102" s="233"/>
      <c r="HI102" s="233"/>
      <c r="HJ102" s="233"/>
      <c r="HK102" s="233"/>
      <c r="HL102" s="233"/>
      <c r="HM102" s="233"/>
      <c r="HN102" s="233"/>
      <c r="HO102" s="233"/>
      <c r="HP102" s="233"/>
      <c r="HQ102" s="233"/>
      <c r="HR102" s="233"/>
      <c r="HS102" s="233"/>
      <c r="HT102" s="233"/>
      <c r="HU102" s="233"/>
      <c r="HV102" s="233"/>
      <c r="HW102" s="233"/>
      <c r="HX102" s="233"/>
      <c r="HY102" s="233"/>
      <c r="HZ102" s="233"/>
      <c r="IA102" s="233"/>
      <c r="IB102" s="233"/>
      <c r="IC102" s="233"/>
      <c r="ID102" s="233"/>
      <c r="IE102" s="233"/>
      <c r="IF102" s="233"/>
      <c r="IG102" s="233"/>
      <c r="IH102" s="233"/>
      <c r="II102" s="233"/>
      <c r="IJ102" s="233"/>
      <c r="IK102" s="233"/>
      <c r="IL102" s="233"/>
      <c r="IM102" s="233"/>
      <c r="IN102" s="233"/>
      <c r="IO102" s="233"/>
      <c r="IP102" s="233"/>
      <c r="IQ102" s="233"/>
      <c r="IR102" s="233"/>
      <c r="IS102" s="233"/>
      <c r="IT102" s="233"/>
      <c r="IU102" s="233"/>
      <c r="IV102" s="233"/>
      <c r="IW102" s="233"/>
      <c r="IX102" s="233"/>
      <c r="IY102" s="233"/>
      <c r="IZ102" s="233"/>
      <c r="JA102" s="233"/>
      <c r="JB102" s="233"/>
      <c r="JC102" s="233"/>
      <c r="JD102" s="233"/>
      <c r="JE102" s="233"/>
      <c r="JF102" s="233"/>
      <c r="JG102" s="233"/>
      <c r="JH102" s="233"/>
      <c r="JI102" s="233"/>
      <c r="JJ102" s="233"/>
      <c r="JK102" s="233"/>
      <c r="JL102" s="233"/>
      <c r="JM102" s="233"/>
      <c r="JN102" s="233"/>
      <c r="JO102" s="233"/>
      <c r="JP102" s="233"/>
      <c r="JQ102" s="233"/>
      <c r="JR102" s="233"/>
      <c r="JS102" s="233"/>
      <c r="JT102" s="233"/>
      <c r="JU102" s="233"/>
      <c r="JV102" s="233"/>
      <c r="JW102" s="233"/>
      <c r="JX102" s="233"/>
      <c r="JY102" s="233"/>
      <c r="JZ102" s="233"/>
      <c r="KA102" s="233"/>
      <c r="KB102" s="233"/>
      <c r="KC102" s="233"/>
      <c r="KD102" s="233"/>
      <c r="KE102" s="233"/>
      <c r="KF102" s="233"/>
      <c r="KG102" s="233"/>
      <c r="KH102" s="233"/>
      <c r="KI102" s="233"/>
      <c r="KJ102" s="233"/>
      <c r="KK102" s="233"/>
      <c r="KL102" s="233"/>
      <c r="KM102" s="233"/>
      <c r="KN102" s="233"/>
      <c r="KO102" s="233"/>
      <c r="KP102" s="233"/>
      <c r="KQ102" s="233"/>
      <c r="KR102" s="233"/>
      <c r="KS102" s="233"/>
      <c r="KT102" s="233"/>
      <c r="KU102" s="233"/>
      <c r="KV102" s="233"/>
      <c r="KW102" s="233"/>
      <c r="KX102" s="233"/>
      <c r="KY102" s="233"/>
      <c r="KZ102" s="233"/>
      <c r="LA102" s="233"/>
      <c r="LB102" s="233"/>
      <c r="LC102" s="233"/>
      <c r="LD102" s="233"/>
      <c r="LE102" s="233"/>
      <c r="LF102" s="233"/>
      <c r="LG102" s="233"/>
      <c r="LH102" s="233"/>
      <c r="LI102" s="233"/>
      <c r="LJ102" s="233"/>
      <c r="LK102" s="233"/>
      <c r="LL102" s="233"/>
      <c r="LM102" s="233"/>
      <c r="LN102" s="233"/>
      <c r="LO102" s="233"/>
      <c r="LP102" s="233"/>
      <c r="LQ102" s="233"/>
      <c r="LR102" s="233"/>
      <c r="LS102" s="233"/>
      <c r="LT102" s="233"/>
      <c r="LU102" s="233"/>
      <c r="LV102" s="233"/>
      <c r="LW102" s="233"/>
      <c r="LX102" s="233"/>
      <c r="LY102" s="233"/>
      <c r="LZ102" s="233"/>
      <c r="MA102" s="233"/>
    </row>
    <row r="103" spans="1:339" s="237" customFormat="1" ht="60" hidden="1" customHeight="1" outlineLevel="1" x14ac:dyDescent="0.25">
      <c r="A103" s="50" t="s">
        <v>1304</v>
      </c>
      <c r="B103" s="50" t="s">
        <v>3119</v>
      </c>
      <c r="C103" s="50" t="s">
        <v>3155</v>
      </c>
      <c r="D103" s="50" t="s">
        <v>2459</v>
      </c>
      <c r="E103" s="160" t="s">
        <v>3171</v>
      </c>
      <c r="F103" s="101" t="s">
        <v>162</v>
      </c>
      <c r="G103" s="101"/>
      <c r="H103" s="101"/>
      <c r="I103" s="101"/>
      <c r="J103" s="101"/>
      <c r="K103" s="241">
        <v>14.34</v>
      </c>
      <c r="L103" s="217" t="s">
        <v>1520</v>
      </c>
      <c r="M103" s="241">
        <f>IF(K103&gt;0,(K103*VLOOKUP(Lookups!$K$11,Lookups!$M$10:$P$43,4,0)/VLOOKUP(L103,Lookups!$M$10:$P$43,4,0)),"")</f>
        <v>14.769096137552715</v>
      </c>
      <c r="N103" s="101"/>
      <c r="O103" s="101"/>
      <c r="P103" s="101"/>
      <c r="Q103" s="238" t="s">
        <v>2488</v>
      </c>
      <c r="R103" s="213" t="s">
        <v>154</v>
      </c>
      <c r="S103" s="216" t="s">
        <v>2458</v>
      </c>
      <c r="T103" s="218" t="s">
        <v>922</v>
      </c>
      <c r="U103" s="4" t="s">
        <v>2294</v>
      </c>
      <c r="V103" s="233"/>
      <c r="W103" s="233"/>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c r="CF103" s="233"/>
      <c r="CG103" s="233"/>
      <c r="CH103" s="233"/>
      <c r="CI103" s="233"/>
      <c r="CJ103" s="233"/>
      <c r="CK103" s="233"/>
      <c r="CL103" s="233"/>
      <c r="CM103" s="233"/>
      <c r="CN103" s="233"/>
      <c r="CO103" s="233"/>
      <c r="CP103" s="233"/>
      <c r="CQ103" s="233"/>
      <c r="CR103" s="233"/>
      <c r="CS103" s="233"/>
      <c r="CT103" s="233"/>
      <c r="CU103" s="233"/>
      <c r="CV103" s="233"/>
      <c r="CW103" s="233"/>
      <c r="CX103" s="233"/>
      <c r="CY103" s="233"/>
      <c r="CZ103" s="233"/>
      <c r="DA103" s="233"/>
      <c r="DB103" s="233"/>
      <c r="DC103" s="233"/>
      <c r="DD103" s="233"/>
      <c r="DE103" s="233"/>
      <c r="DF103" s="233"/>
      <c r="DG103" s="233"/>
      <c r="DH103" s="233"/>
      <c r="DI103" s="233"/>
      <c r="DJ103" s="233"/>
      <c r="DK103" s="233"/>
      <c r="DL103" s="233"/>
      <c r="DM103" s="233"/>
      <c r="DN103" s="233"/>
      <c r="DO103" s="233"/>
      <c r="DP103" s="233"/>
      <c r="DQ103" s="233"/>
      <c r="DR103" s="233"/>
      <c r="DS103" s="233"/>
      <c r="DT103" s="233"/>
      <c r="DU103" s="233"/>
      <c r="DV103" s="233"/>
      <c r="DW103" s="233"/>
      <c r="DX103" s="233"/>
      <c r="DY103" s="233"/>
      <c r="DZ103" s="233"/>
      <c r="EA103" s="233"/>
      <c r="EB103" s="233"/>
      <c r="EC103" s="233"/>
      <c r="ED103" s="233"/>
      <c r="EE103" s="233"/>
      <c r="EF103" s="233"/>
      <c r="EG103" s="233"/>
      <c r="EH103" s="233"/>
      <c r="EI103" s="233"/>
      <c r="EJ103" s="233"/>
      <c r="EK103" s="233"/>
      <c r="EL103" s="233"/>
      <c r="EM103" s="233"/>
      <c r="EN103" s="233"/>
      <c r="EO103" s="233"/>
      <c r="EP103" s="233"/>
      <c r="EQ103" s="233"/>
      <c r="ER103" s="233"/>
      <c r="ES103" s="233"/>
      <c r="ET103" s="233"/>
      <c r="EU103" s="233"/>
      <c r="EV103" s="233"/>
      <c r="EW103" s="233"/>
      <c r="EX103" s="233"/>
      <c r="EY103" s="233"/>
      <c r="EZ103" s="233"/>
      <c r="FA103" s="233"/>
      <c r="FB103" s="233"/>
      <c r="FC103" s="233"/>
      <c r="FD103" s="233"/>
      <c r="FE103" s="233"/>
      <c r="FF103" s="233"/>
      <c r="FG103" s="233"/>
      <c r="FH103" s="233"/>
      <c r="FI103" s="233"/>
      <c r="FJ103" s="233"/>
      <c r="FK103" s="233"/>
      <c r="FL103" s="233"/>
      <c r="FM103" s="233"/>
      <c r="FN103" s="233"/>
      <c r="FO103" s="233"/>
      <c r="FP103" s="233"/>
      <c r="FQ103" s="233"/>
      <c r="FR103" s="233"/>
      <c r="FS103" s="233"/>
      <c r="FT103" s="233"/>
      <c r="FU103" s="233"/>
      <c r="FV103" s="233"/>
      <c r="FW103" s="233"/>
      <c r="FX103" s="233"/>
      <c r="FY103" s="233"/>
      <c r="FZ103" s="233"/>
      <c r="GA103" s="233"/>
      <c r="GB103" s="233"/>
      <c r="GC103" s="233"/>
      <c r="GD103" s="233"/>
      <c r="GE103" s="233"/>
      <c r="GF103" s="233"/>
      <c r="GG103" s="233"/>
      <c r="GH103" s="233"/>
      <c r="GI103" s="233"/>
      <c r="GJ103" s="233"/>
      <c r="GK103" s="233"/>
      <c r="GL103" s="233"/>
      <c r="GM103" s="233"/>
      <c r="GN103" s="233"/>
      <c r="GO103" s="233"/>
      <c r="GP103" s="233"/>
      <c r="GQ103" s="233"/>
      <c r="GR103" s="233"/>
      <c r="GS103" s="233"/>
      <c r="GT103" s="233"/>
      <c r="GU103" s="233"/>
      <c r="GV103" s="233"/>
      <c r="GW103" s="233"/>
      <c r="GX103" s="233"/>
      <c r="GY103" s="233"/>
      <c r="GZ103" s="233"/>
      <c r="HA103" s="233"/>
      <c r="HB103" s="233"/>
      <c r="HC103" s="233"/>
      <c r="HD103" s="233"/>
      <c r="HE103" s="233"/>
      <c r="HF103" s="233"/>
      <c r="HG103" s="233"/>
      <c r="HH103" s="233"/>
      <c r="HI103" s="233"/>
      <c r="HJ103" s="233"/>
      <c r="HK103" s="233"/>
      <c r="HL103" s="233"/>
      <c r="HM103" s="233"/>
      <c r="HN103" s="233"/>
      <c r="HO103" s="233"/>
      <c r="HP103" s="233"/>
      <c r="HQ103" s="233"/>
      <c r="HR103" s="233"/>
      <c r="HS103" s="233"/>
      <c r="HT103" s="233"/>
      <c r="HU103" s="233"/>
      <c r="HV103" s="233"/>
      <c r="HW103" s="233"/>
      <c r="HX103" s="233"/>
      <c r="HY103" s="233"/>
      <c r="HZ103" s="233"/>
      <c r="IA103" s="233"/>
      <c r="IB103" s="233"/>
      <c r="IC103" s="233"/>
      <c r="ID103" s="233"/>
      <c r="IE103" s="233"/>
      <c r="IF103" s="233"/>
      <c r="IG103" s="233"/>
      <c r="IH103" s="233"/>
      <c r="II103" s="233"/>
      <c r="IJ103" s="233"/>
      <c r="IK103" s="233"/>
      <c r="IL103" s="233"/>
      <c r="IM103" s="233"/>
      <c r="IN103" s="233"/>
      <c r="IO103" s="233"/>
      <c r="IP103" s="233"/>
      <c r="IQ103" s="233"/>
      <c r="IR103" s="233"/>
      <c r="IS103" s="233"/>
      <c r="IT103" s="233"/>
      <c r="IU103" s="233"/>
      <c r="IV103" s="233"/>
      <c r="IW103" s="233"/>
      <c r="IX103" s="233"/>
      <c r="IY103" s="233"/>
      <c r="IZ103" s="233"/>
      <c r="JA103" s="233"/>
      <c r="JB103" s="233"/>
      <c r="JC103" s="233"/>
      <c r="JD103" s="233"/>
      <c r="JE103" s="233"/>
      <c r="JF103" s="233"/>
      <c r="JG103" s="233"/>
      <c r="JH103" s="233"/>
      <c r="JI103" s="233"/>
      <c r="JJ103" s="233"/>
      <c r="JK103" s="233"/>
      <c r="JL103" s="233"/>
      <c r="JM103" s="233"/>
      <c r="JN103" s="233"/>
      <c r="JO103" s="233"/>
      <c r="JP103" s="233"/>
      <c r="JQ103" s="233"/>
      <c r="JR103" s="233"/>
      <c r="JS103" s="233"/>
      <c r="JT103" s="233"/>
      <c r="JU103" s="233"/>
      <c r="JV103" s="233"/>
      <c r="JW103" s="233"/>
      <c r="JX103" s="233"/>
      <c r="JY103" s="233"/>
      <c r="JZ103" s="233"/>
      <c r="KA103" s="233"/>
      <c r="KB103" s="233"/>
      <c r="KC103" s="233"/>
      <c r="KD103" s="233"/>
      <c r="KE103" s="233"/>
      <c r="KF103" s="233"/>
      <c r="KG103" s="233"/>
      <c r="KH103" s="233"/>
      <c r="KI103" s="233"/>
      <c r="KJ103" s="233"/>
      <c r="KK103" s="233"/>
      <c r="KL103" s="233"/>
      <c r="KM103" s="233"/>
      <c r="KN103" s="233"/>
      <c r="KO103" s="233"/>
      <c r="KP103" s="233"/>
      <c r="KQ103" s="233"/>
      <c r="KR103" s="233"/>
      <c r="KS103" s="233"/>
      <c r="KT103" s="233"/>
      <c r="KU103" s="233"/>
      <c r="KV103" s="233"/>
      <c r="KW103" s="233"/>
      <c r="KX103" s="233"/>
      <c r="KY103" s="233"/>
      <c r="KZ103" s="233"/>
      <c r="LA103" s="233"/>
      <c r="LB103" s="233"/>
      <c r="LC103" s="233"/>
      <c r="LD103" s="233"/>
      <c r="LE103" s="233"/>
      <c r="LF103" s="233"/>
      <c r="LG103" s="233"/>
      <c r="LH103" s="233"/>
      <c r="LI103" s="233"/>
      <c r="LJ103" s="233"/>
      <c r="LK103" s="233"/>
      <c r="LL103" s="233"/>
      <c r="LM103" s="233"/>
      <c r="LN103" s="233"/>
      <c r="LO103" s="233"/>
      <c r="LP103" s="233"/>
      <c r="LQ103" s="233"/>
      <c r="LR103" s="233"/>
      <c r="LS103" s="233"/>
      <c r="LT103" s="233"/>
      <c r="LU103" s="233"/>
      <c r="LV103" s="233"/>
      <c r="LW103" s="233"/>
      <c r="LX103" s="233"/>
      <c r="LY103" s="233"/>
      <c r="LZ103" s="233"/>
      <c r="MA103" s="233"/>
    </row>
    <row r="104" spans="1:339" s="237" customFormat="1" ht="60" customHeight="1" x14ac:dyDescent="0.25">
      <c r="A104" s="242" t="s">
        <v>1304</v>
      </c>
      <c r="B104" s="243" t="s">
        <v>3120</v>
      </c>
      <c r="C104" s="48" t="s">
        <v>3156</v>
      </c>
      <c r="D104" s="244" t="s">
        <v>2461</v>
      </c>
      <c r="E104" s="160" t="s">
        <v>2462</v>
      </c>
      <c r="F104" s="101" t="s">
        <v>212</v>
      </c>
      <c r="G104" s="101"/>
      <c r="H104" s="101"/>
      <c r="I104" s="101"/>
      <c r="J104" s="101"/>
      <c r="K104" s="241">
        <v>3076</v>
      </c>
      <c r="L104" s="217" t="s">
        <v>1520</v>
      </c>
      <c r="M104" s="241">
        <f>IF(K104&gt;0,(K104*VLOOKUP(Lookups!$K$11,Lookups!$M$10:$P$43,4,0)/VLOOKUP(L104,Lookups!$M$10:$P$43,4,0)),"")</f>
        <v>3168.0432161166077</v>
      </c>
      <c r="N104" s="101"/>
      <c r="O104" s="101"/>
      <c r="P104" s="101"/>
      <c r="Q104" s="238" t="s">
        <v>2489</v>
      </c>
      <c r="R104" s="213" t="s">
        <v>154</v>
      </c>
      <c r="S104" s="216" t="s">
        <v>2463</v>
      </c>
      <c r="T104" s="218" t="s">
        <v>922</v>
      </c>
      <c r="U104" s="4" t="s">
        <v>2294</v>
      </c>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c r="CF104" s="233"/>
      <c r="CG104" s="233"/>
      <c r="CH104" s="233"/>
      <c r="CI104" s="233"/>
      <c r="CJ104" s="233"/>
      <c r="CK104" s="233"/>
      <c r="CL104" s="233"/>
      <c r="CM104" s="233"/>
      <c r="CN104" s="233"/>
      <c r="CO104" s="233"/>
      <c r="CP104" s="233"/>
      <c r="CQ104" s="233"/>
      <c r="CR104" s="233"/>
      <c r="CS104" s="233"/>
      <c r="CT104" s="233"/>
      <c r="CU104" s="233"/>
      <c r="CV104" s="233"/>
      <c r="CW104" s="233"/>
      <c r="CX104" s="233"/>
      <c r="CY104" s="233"/>
      <c r="CZ104" s="233"/>
      <c r="DA104" s="233"/>
      <c r="DB104" s="233"/>
      <c r="DC104" s="233"/>
      <c r="DD104" s="233"/>
      <c r="DE104" s="233"/>
      <c r="DF104" s="233"/>
      <c r="DG104" s="233"/>
      <c r="DH104" s="233"/>
      <c r="DI104" s="233"/>
      <c r="DJ104" s="233"/>
      <c r="DK104" s="233"/>
      <c r="DL104" s="233"/>
      <c r="DM104" s="233"/>
      <c r="DN104" s="233"/>
      <c r="DO104" s="233"/>
      <c r="DP104" s="233"/>
      <c r="DQ104" s="233"/>
      <c r="DR104" s="233"/>
      <c r="DS104" s="233"/>
      <c r="DT104" s="233"/>
      <c r="DU104" s="233"/>
      <c r="DV104" s="233"/>
      <c r="DW104" s="233"/>
      <c r="DX104" s="233"/>
      <c r="DY104" s="233"/>
      <c r="DZ104" s="233"/>
      <c r="EA104" s="233"/>
      <c r="EB104" s="233"/>
      <c r="EC104" s="233"/>
      <c r="ED104" s="233"/>
      <c r="EE104" s="233"/>
      <c r="EF104" s="233"/>
      <c r="EG104" s="233"/>
      <c r="EH104" s="233"/>
      <c r="EI104" s="233"/>
      <c r="EJ104" s="233"/>
      <c r="EK104" s="233"/>
      <c r="EL104" s="233"/>
      <c r="EM104" s="233"/>
      <c r="EN104" s="233"/>
      <c r="EO104" s="233"/>
      <c r="EP104" s="233"/>
      <c r="EQ104" s="233"/>
      <c r="ER104" s="233"/>
      <c r="ES104" s="233"/>
      <c r="ET104" s="233"/>
      <c r="EU104" s="233"/>
      <c r="EV104" s="233"/>
      <c r="EW104" s="233"/>
      <c r="EX104" s="233"/>
      <c r="EY104" s="233"/>
      <c r="EZ104" s="233"/>
      <c r="FA104" s="233"/>
      <c r="FB104" s="233"/>
      <c r="FC104" s="233"/>
      <c r="FD104" s="233"/>
      <c r="FE104" s="233"/>
      <c r="FF104" s="233"/>
      <c r="FG104" s="233"/>
      <c r="FH104" s="233"/>
      <c r="FI104" s="233"/>
      <c r="FJ104" s="233"/>
      <c r="FK104" s="233"/>
      <c r="FL104" s="233"/>
      <c r="FM104" s="233"/>
      <c r="FN104" s="233"/>
      <c r="FO104" s="233"/>
      <c r="FP104" s="233"/>
      <c r="FQ104" s="233"/>
      <c r="FR104" s="233"/>
      <c r="FS104" s="233"/>
      <c r="FT104" s="233"/>
      <c r="FU104" s="233"/>
      <c r="FV104" s="233"/>
      <c r="FW104" s="233"/>
      <c r="FX104" s="233"/>
      <c r="FY104" s="233"/>
      <c r="FZ104" s="233"/>
      <c r="GA104" s="233"/>
      <c r="GB104" s="233"/>
      <c r="GC104" s="233"/>
      <c r="GD104" s="233"/>
      <c r="GE104" s="233"/>
      <c r="GF104" s="233"/>
      <c r="GG104" s="233"/>
      <c r="GH104" s="233"/>
      <c r="GI104" s="233"/>
      <c r="GJ104" s="233"/>
      <c r="GK104" s="233"/>
      <c r="GL104" s="233"/>
      <c r="GM104" s="233"/>
      <c r="GN104" s="233"/>
      <c r="GO104" s="233"/>
      <c r="GP104" s="233"/>
      <c r="GQ104" s="233"/>
      <c r="GR104" s="233"/>
      <c r="GS104" s="233"/>
      <c r="GT104" s="233"/>
      <c r="GU104" s="233"/>
      <c r="GV104" s="233"/>
      <c r="GW104" s="233"/>
      <c r="GX104" s="233"/>
      <c r="GY104" s="233"/>
      <c r="GZ104" s="233"/>
      <c r="HA104" s="233"/>
      <c r="HB104" s="233"/>
      <c r="HC104" s="233"/>
      <c r="HD104" s="233"/>
      <c r="HE104" s="233"/>
      <c r="HF104" s="233"/>
      <c r="HG104" s="233"/>
      <c r="HH104" s="233"/>
      <c r="HI104" s="233"/>
      <c r="HJ104" s="233"/>
      <c r="HK104" s="233"/>
      <c r="HL104" s="233"/>
      <c r="HM104" s="233"/>
      <c r="HN104" s="233"/>
      <c r="HO104" s="233"/>
      <c r="HP104" s="233"/>
      <c r="HQ104" s="233"/>
      <c r="HR104" s="233"/>
      <c r="HS104" s="233"/>
      <c r="HT104" s="233"/>
      <c r="HU104" s="233"/>
      <c r="HV104" s="233"/>
      <c r="HW104" s="233"/>
      <c r="HX104" s="233"/>
      <c r="HY104" s="233"/>
      <c r="HZ104" s="233"/>
      <c r="IA104" s="233"/>
      <c r="IB104" s="233"/>
      <c r="IC104" s="233"/>
      <c r="ID104" s="233"/>
      <c r="IE104" s="233"/>
      <c r="IF104" s="233"/>
      <c r="IG104" s="233"/>
      <c r="IH104" s="233"/>
      <c r="II104" s="233"/>
      <c r="IJ104" s="233"/>
      <c r="IK104" s="233"/>
      <c r="IL104" s="233"/>
      <c r="IM104" s="233"/>
      <c r="IN104" s="233"/>
      <c r="IO104" s="233"/>
      <c r="IP104" s="233"/>
      <c r="IQ104" s="233"/>
      <c r="IR104" s="233"/>
      <c r="IS104" s="233"/>
      <c r="IT104" s="233"/>
      <c r="IU104" s="233"/>
      <c r="IV104" s="233"/>
      <c r="IW104" s="233"/>
      <c r="IX104" s="233"/>
      <c r="IY104" s="233"/>
      <c r="IZ104" s="233"/>
      <c r="JA104" s="233"/>
      <c r="JB104" s="233"/>
      <c r="JC104" s="233"/>
      <c r="JD104" s="233"/>
      <c r="JE104" s="233"/>
      <c r="JF104" s="233"/>
      <c r="JG104" s="233"/>
      <c r="JH104" s="233"/>
      <c r="JI104" s="233"/>
      <c r="JJ104" s="233"/>
      <c r="JK104" s="233"/>
      <c r="JL104" s="233"/>
      <c r="JM104" s="233"/>
      <c r="JN104" s="233"/>
      <c r="JO104" s="233"/>
      <c r="JP104" s="233"/>
      <c r="JQ104" s="233"/>
      <c r="JR104" s="233"/>
      <c r="JS104" s="233"/>
      <c r="JT104" s="233"/>
      <c r="JU104" s="233"/>
      <c r="JV104" s="233"/>
      <c r="JW104" s="233"/>
      <c r="JX104" s="233"/>
      <c r="JY104" s="233"/>
      <c r="JZ104" s="233"/>
      <c r="KA104" s="233"/>
      <c r="KB104" s="233"/>
      <c r="KC104" s="233"/>
      <c r="KD104" s="233"/>
      <c r="KE104" s="233"/>
      <c r="KF104" s="233"/>
      <c r="KG104" s="233"/>
      <c r="KH104" s="233"/>
      <c r="KI104" s="233"/>
      <c r="KJ104" s="233"/>
      <c r="KK104" s="233"/>
      <c r="KL104" s="233"/>
      <c r="KM104" s="233"/>
      <c r="KN104" s="233"/>
      <c r="KO104" s="233"/>
      <c r="KP104" s="233"/>
      <c r="KQ104" s="233"/>
      <c r="KR104" s="233"/>
      <c r="KS104" s="233"/>
      <c r="KT104" s="233"/>
      <c r="KU104" s="233"/>
      <c r="KV104" s="233"/>
      <c r="KW104" s="233"/>
      <c r="KX104" s="233"/>
      <c r="KY104" s="233"/>
      <c r="KZ104" s="233"/>
      <c r="LA104" s="233"/>
      <c r="LB104" s="233"/>
      <c r="LC104" s="233"/>
      <c r="LD104" s="233"/>
      <c r="LE104" s="233"/>
      <c r="LF104" s="233"/>
      <c r="LG104" s="233"/>
      <c r="LH104" s="233"/>
      <c r="LI104" s="233"/>
      <c r="LJ104" s="233"/>
      <c r="LK104" s="233"/>
      <c r="LL104" s="233"/>
      <c r="LM104" s="233"/>
      <c r="LN104" s="233"/>
      <c r="LO104" s="233"/>
      <c r="LP104" s="233"/>
      <c r="LQ104" s="233"/>
      <c r="LR104" s="233"/>
      <c r="LS104" s="233"/>
      <c r="LT104" s="233"/>
      <c r="LU104" s="233"/>
      <c r="LV104" s="233"/>
      <c r="LW104" s="233"/>
      <c r="LX104" s="233"/>
      <c r="LY104" s="233"/>
      <c r="LZ104" s="233"/>
      <c r="MA104" s="233"/>
    </row>
    <row r="105" spans="1:339" s="237" customFormat="1" ht="60" customHeight="1" x14ac:dyDescent="0.25">
      <c r="A105" s="242" t="s">
        <v>1304</v>
      </c>
      <c r="B105" s="243" t="s">
        <v>3120</v>
      </c>
      <c r="C105" s="48" t="s">
        <v>3157</v>
      </c>
      <c r="D105" s="244" t="s">
        <v>2465</v>
      </c>
      <c r="E105" s="160" t="s">
        <v>2462</v>
      </c>
      <c r="F105" s="101" t="s">
        <v>212</v>
      </c>
      <c r="G105" s="101"/>
      <c r="H105" s="101"/>
      <c r="I105" s="101"/>
      <c r="J105" s="101"/>
      <c r="K105" s="241">
        <v>6164</v>
      </c>
      <c r="L105" s="217" t="s">
        <v>1520</v>
      </c>
      <c r="M105" s="241">
        <f>IF(K105&gt;0,(K105*VLOOKUP(Lookups!$K$11,Lookups!$M$10:$P$43,4,0)/VLOOKUP(L105,Lookups!$M$10:$P$43,4,0)),"")</f>
        <v>6348.4455084989495</v>
      </c>
      <c r="N105" s="101"/>
      <c r="O105" s="101"/>
      <c r="P105" s="101"/>
      <c r="Q105" s="238" t="s">
        <v>2489</v>
      </c>
      <c r="R105" s="213" t="s">
        <v>154</v>
      </c>
      <c r="S105" s="216" t="s">
        <v>2464</v>
      </c>
      <c r="T105" s="218" t="s">
        <v>922</v>
      </c>
      <c r="U105" s="4" t="s">
        <v>2294</v>
      </c>
      <c r="V105" s="233"/>
      <c r="W105" s="233"/>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c r="CF105" s="233"/>
      <c r="CG105" s="233"/>
      <c r="CH105" s="233"/>
      <c r="CI105" s="233"/>
      <c r="CJ105" s="233"/>
      <c r="CK105" s="233"/>
      <c r="CL105" s="233"/>
      <c r="CM105" s="233"/>
      <c r="CN105" s="233"/>
      <c r="CO105" s="233"/>
      <c r="CP105" s="233"/>
      <c r="CQ105" s="233"/>
      <c r="CR105" s="233"/>
      <c r="CS105" s="233"/>
      <c r="CT105" s="233"/>
      <c r="CU105" s="233"/>
      <c r="CV105" s="233"/>
      <c r="CW105" s="233"/>
      <c r="CX105" s="233"/>
      <c r="CY105" s="233"/>
      <c r="CZ105" s="233"/>
      <c r="DA105" s="233"/>
      <c r="DB105" s="233"/>
      <c r="DC105" s="233"/>
      <c r="DD105" s="233"/>
      <c r="DE105" s="233"/>
      <c r="DF105" s="233"/>
      <c r="DG105" s="233"/>
      <c r="DH105" s="233"/>
      <c r="DI105" s="233"/>
      <c r="DJ105" s="233"/>
      <c r="DK105" s="233"/>
      <c r="DL105" s="233"/>
      <c r="DM105" s="233"/>
      <c r="DN105" s="233"/>
      <c r="DO105" s="233"/>
      <c r="DP105" s="233"/>
      <c r="DQ105" s="233"/>
      <c r="DR105" s="233"/>
      <c r="DS105" s="233"/>
      <c r="DT105" s="233"/>
      <c r="DU105" s="233"/>
      <c r="DV105" s="233"/>
      <c r="DW105" s="233"/>
      <c r="DX105" s="233"/>
      <c r="DY105" s="233"/>
      <c r="DZ105" s="233"/>
      <c r="EA105" s="233"/>
      <c r="EB105" s="233"/>
      <c r="EC105" s="233"/>
      <c r="ED105" s="233"/>
      <c r="EE105" s="233"/>
      <c r="EF105" s="233"/>
      <c r="EG105" s="233"/>
      <c r="EH105" s="233"/>
      <c r="EI105" s="233"/>
      <c r="EJ105" s="233"/>
      <c r="EK105" s="233"/>
      <c r="EL105" s="233"/>
      <c r="EM105" s="233"/>
      <c r="EN105" s="233"/>
      <c r="EO105" s="233"/>
      <c r="EP105" s="233"/>
      <c r="EQ105" s="233"/>
      <c r="ER105" s="233"/>
      <c r="ES105" s="233"/>
      <c r="ET105" s="233"/>
      <c r="EU105" s="233"/>
      <c r="EV105" s="233"/>
      <c r="EW105" s="233"/>
      <c r="EX105" s="233"/>
      <c r="EY105" s="233"/>
      <c r="EZ105" s="233"/>
      <c r="FA105" s="233"/>
      <c r="FB105" s="233"/>
      <c r="FC105" s="233"/>
      <c r="FD105" s="233"/>
      <c r="FE105" s="233"/>
      <c r="FF105" s="233"/>
      <c r="FG105" s="233"/>
      <c r="FH105" s="233"/>
      <c r="FI105" s="233"/>
      <c r="FJ105" s="233"/>
      <c r="FK105" s="233"/>
      <c r="FL105" s="233"/>
      <c r="FM105" s="233"/>
      <c r="FN105" s="233"/>
      <c r="FO105" s="233"/>
      <c r="FP105" s="233"/>
      <c r="FQ105" s="233"/>
      <c r="FR105" s="233"/>
      <c r="FS105" s="233"/>
      <c r="FT105" s="233"/>
      <c r="FU105" s="233"/>
      <c r="FV105" s="233"/>
      <c r="FW105" s="233"/>
      <c r="FX105" s="233"/>
      <c r="FY105" s="233"/>
      <c r="FZ105" s="233"/>
      <c r="GA105" s="233"/>
      <c r="GB105" s="233"/>
      <c r="GC105" s="233"/>
      <c r="GD105" s="233"/>
      <c r="GE105" s="233"/>
      <c r="GF105" s="233"/>
      <c r="GG105" s="233"/>
      <c r="GH105" s="233"/>
      <c r="GI105" s="233"/>
      <c r="GJ105" s="233"/>
      <c r="GK105" s="233"/>
      <c r="GL105" s="233"/>
      <c r="GM105" s="233"/>
      <c r="GN105" s="233"/>
      <c r="GO105" s="233"/>
      <c r="GP105" s="233"/>
      <c r="GQ105" s="233"/>
      <c r="GR105" s="233"/>
      <c r="GS105" s="233"/>
      <c r="GT105" s="233"/>
      <c r="GU105" s="233"/>
      <c r="GV105" s="233"/>
      <c r="GW105" s="233"/>
      <c r="GX105" s="233"/>
      <c r="GY105" s="233"/>
      <c r="GZ105" s="233"/>
      <c r="HA105" s="233"/>
      <c r="HB105" s="233"/>
      <c r="HC105" s="233"/>
      <c r="HD105" s="233"/>
      <c r="HE105" s="233"/>
      <c r="HF105" s="233"/>
      <c r="HG105" s="233"/>
      <c r="HH105" s="233"/>
      <c r="HI105" s="233"/>
      <c r="HJ105" s="233"/>
      <c r="HK105" s="233"/>
      <c r="HL105" s="233"/>
      <c r="HM105" s="233"/>
      <c r="HN105" s="233"/>
      <c r="HO105" s="233"/>
      <c r="HP105" s="233"/>
      <c r="HQ105" s="233"/>
      <c r="HR105" s="233"/>
      <c r="HS105" s="233"/>
      <c r="HT105" s="233"/>
      <c r="HU105" s="233"/>
      <c r="HV105" s="233"/>
      <c r="HW105" s="233"/>
      <c r="HX105" s="233"/>
      <c r="HY105" s="233"/>
      <c r="HZ105" s="233"/>
      <c r="IA105" s="233"/>
      <c r="IB105" s="233"/>
      <c r="IC105" s="233"/>
      <c r="ID105" s="233"/>
      <c r="IE105" s="233"/>
      <c r="IF105" s="233"/>
      <c r="IG105" s="233"/>
      <c r="IH105" s="233"/>
      <c r="II105" s="233"/>
      <c r="IJ105" s="233"/>
      <c r="IK105" s="233"/>
      <c r="IL105" s="233"/>
      <c r="IM105" s="233"/>
      <c r="IN105" s="233"/>
      <c r="IO105" s="233"/>
      <c r="IP105" s="233"/>
      <c r="IQ105" s="233"/>
      <c r="IR105" s="233"/>
      <c r="IS105" s="233"/>
      <c r="IT105" s="233"/>
      <c r="IU105" s="233"/>
      <c r="IV105" s="233"/>
      <c r="IW105" s="233"/>
      <c r="IX105" s="233"/>
      <c r="IY105" s="233"/>
      <c r="IZ105" s="233"/>
      <c r="JA105" s="233"/>
      <c r="JB105" s="233"/>
      <c r="JC105" s="233"/>
      <c r="JD105" s="233"/>
      <c r="JE105" s="233"/>
      <c r="JF105" s="233"/>
      <c r="JG105" s="233"/>
      <c r="JH105" s="233"/>
      <c r="JI105" s="233"/>
      <c r="JJ105" s="233"/>
      <c r="JK105" s="233"/>
      <c r="JL105" s="233"/>
      <c r="JM105" s="233"/>
      <c r="JN105" s="233"/>
      <c r="JO105" s="233"/>
      <c r="JP105" s="233"/>
      <c r="JQ105" s="233"/>
      <c r="JR105" s="233"/>
      <c r="JS105" s="233"/>
      <c r="JT105" s="233"/>
      <c r="JU105" s="233"/>
      <c r="JV105" s="233"/>
      <c r="JW105" s="233"/>
      <c r="JX105" s="233"/>
      <c r="JY105" s="233"/>
      <c r="JZ105" s="233"/>
      <c r="KA105" s="233"/>
      <c r="KB105" s="233"/>
      <c r="KC105" s="233"/>
      <c r="KD105" s="233"/>
      <c r="KE105" s="233"/>
      <c r="KF105" s="233"/>
      <c r="KG105" s="233"/>
      <c r="KH105" s="233"/>
      <c r="KI105" s="233"/>
      <c r="KJ105" s="233"/>
      <c r="KK105" s="233"/>
      <c r="KL105" s="233"/>
      <c r="KM105" s="233"/>
      <c r="KN105" s="233"/>
      <c r="KO105" s="233"/>
      <c r="KP105" s="233"/>
      <c r="KQ105" s="233"/>
      <c r="KR105" s="233"/>
      <c r="KS105" s="233"/>
      <c r="KT105" s="233"/>
      <c r="KU105" s="233"/>
      <c r="KV105" s="233"/>
      <c r="KW105" s="233"/>
      <c r="KX105" s="233"/>
      <c r="KY105" s="233"/>
      <c r="KZ105" s="233"/>
      <c r="LA105" s="233"/>
      <c r="LB105" s="233"/>
      <c r="LC105" s="233"/>
      <c r="LD105" s="233"/>
      <c r="LE105" s="233"/>
      <c r="LF105" s="233"/>
      <c r="LG105" s="233"/>
      <c r="LH105" s="233"/>
      <c r="LI105" s="233"/>
      <c r="LJ105" s="233"/>
      <c r="LK105" s="233"/>
      <c r="LL105" s="233"/>
      <c r="LM105" s="233"/>
      <c r="LN105" s="233"/>
      <c r="LO105" s="233"/>
      <c r="LP105" s="233"/>
      <c r="LQ105" s="233"/>
      <c r="LR105" s="233"/>
      <c r="LS105" s="233"/>
      <c r="LT105" s="233"/>
      <c r="LU105" s="233"/>
      <c r="LV105" s="233"/>
      <c r="LW105" s="233"/>
      <c r="LX105" s="233"/>
      <c r="LY105" s="233"/>
      <c r="LZ105" s="233"/>
      <c r="MA105" s="233"/>
    </row>
    <row r="106" spans="1:339" s="237" customFormat="1" ht="60" customHeight="1" x14ac:dyDescent="0.25">
      <c r="A106" s="242" t="s">
        <v>1304</v>
      </c>
      <c r="B106" s="243" t="s">
        <v>3120</v>
      </c>
      <c r="C106" s="48" t="s">
        <v>3158</v>
      </c>
      <c r="D106" s="244" t="s">
        <v>2466</v>
      </c>
      <c r="E106" s="160" t="s">
        <v>2450</v>
      </c>
      <c r="F106" s="101" t="s">
        <v>212</v>
      </c>
      <c r="G106" s="101"/>
      <c r="H106" s="101"/>
      <c r="I106" s="101"/>
      <c r="J106" s="101"/>
      <c r="K106" s="241">
        <v>20</v>
      </c>
      <c r="L106" s="217" t="s">
        <v>1520</v>
      </c>
      <c r="M106" s="241">
        <f>IF(K106&gt;0,(K106*VLOOKUP(Lookups!$K$11,Lookups!$M$10:$P$43,4,0)/VLOOKUP(L106,Lookups!$M$10:$P$43,4,0)),"")</f>
        <v>20.598460442890815</v>
      </c>
      <c r="N106" s="101"/>
      <c r="O106" s="101"/>
      <c r="P106" s="101"/>
      <c r="Q106" s="81" t="s">
        <v>2454</v>
      </c>
      <c r="R106" s="213" t="s">
        <v>154</v>
      </c>
      <c r="S106" s="216" t="s">
        <v>2494</v>
      </c>
      <c r="T106" s="218" t="s">
        <v>922</v>
      </c>
      <c r="U106" s="4" t="s">
        <v>2294</v>
      </c>
      <c r="V106" s="233"/>
      <c r="W106" s="233"/>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c r="CF106" s="233"/>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c r="DB106" s="233"/>
      <c r="DC106" s="233"/>
      <c r="DD106" s="233"/>
      <c r="DE106" s="233"/>
      <c r="DF106" s="233"/>
      <c r="DG106" s="233"/>
      <c r="DH106" s="233"/>
      <c r="DI106" s="233"/>
      <c r="DJ106" s="233"/>
      <c r="DK106" s="233"/>
      <c r="DL106" s="233"/>
      <c r="DM106" s="233"/>
      <c r="DN106" s="233"/>
      <c r="DO106" s="233"/>
      <c r="DP106" s="233"/>
      <c r="DQ106" s="233"/>
      <c r="DR106" s="233"/>
      <c r="DS106" s="233"/>
      <c r="DT106" s="233"/>
      <c r="DU106" s="233"/>
      <c r="DV106" s="233"/>
      <c r="DW106" s="233"/>
      <c r="DX106" s="233"/>
      <c r="DY106" s="233"/>
      <c r="DZ106" s="233"/>
      <c r="EA106" s="233"/>
      <c r="EB106" s="233"/>
      <c r="EC106" s="233"/>
      <c r="ED106" s="233"/>
      <c r="EE106" s="233"/>
      <c r="EF106" s="233"/>
      <c r="EG106" s="233"/>
      <c r="EH106" s="233"/>
      <c r="EI106" s="233"/>
      <c r="EJ106" s="233"/>
      <c r="EK106" s="233"/>
      <c r="EL106" s="233"/>
      <c r="EM106" s="233"/>
      <c r="EN106" s="233"/>
      <c r="EO106" s="233"/>
      <c r="EP106" s="233"/>
      <c r="EQ106" s="233"/>
      <c r="ER106" s="233"/>
      <c r="ES106" s="233"/>
      <c r="ET106" s="233"/>
      <c r="EU106" s="233"/>
      <c r="EV106" s="233"/>
      <c r="EW106" s="233"/>
      <c r="EX106" s="233"/>
      <c r="EY106" s="233"/>
      <c r="EZ106" s="233"/>
      <c r="FA106" s="233"/>
      <c r="FB106" s="233"/>
      <c r="FC106" s="233"/>
      <c r="FD106" s="233"/>
      <c r="FE106" s="233"/>
      <c r="FF106" s="233"/>
      <c r="FG106" s="233"/>
      <c r="FH106" s="233"/>
      <c r="FI106" s="233"/>
      <c r="FJ106" s="233"/>
      <c r="FK106" s="233"/>
      <c r="FL106" s="233"/>
      <c r="FM106" s="233"/>
      <c r="FN106" s="233"/>
      <c r="FO106" s="233"/>
      <c r="FP106" s="233"/>
      <c r="FQ106" s="233"/>
      <c r="FR106" s="233"/>
      <c r="FS106" s="233"/>
      <c r="FT106" s="233"/>
      <c r="FU106" s="233"/>
      <c r="FV106" s="233"/>
      <c r="FW106" s="233"/>
      <c r="FX106" s="233"/>
      <c r="FY106" s="233"/>
      <c r="FZ106" s="233"/>
      <c r="GA106" s="233"/>
      <c r="GB106" s="233"/>
      <c r="GC106" s="233"/>
      <c r="GD106" s="233"/>
      <c r="GE106" s="233"/>
      <c r="GF106" s="233"/>
      <c r="GG106" s="233"/>
      <c r="GH106" s="233"/>
      <c r="GI106" s="233"/>
      <c r="GJ106" s="233"/>
      <c r="GK106" s="233"/>
      <c r="GL106" s="233"/>
      <c r="GM106" s="233"/>
      <c r="GN106" s="233"/>
      <c r="GO106" s="233"/>
      <c r="GP106" s="233"/>
      <c r="GQ106" s="233"/>
      <c r="GR106" s="233"/>
      <c r="GS106" s="233"/>
      <c r="GT106" s="233"/>
      <c r="GU106" s="233"/>
      <c r="GV106" s="233"/>
      <c r="GW106" s="233"/>
      <c r="GX106" s="233"/>
      <c r="GY106" s="233"/>
      <c r="GZ106" s="233"/>
      <c r="HA106" s="233"/>
      <c r="HB106" s="233"/>
      <c r="HC106" s="233"/>
      <c r="HD106" s="233"/>
      <c r="HE106" s="233"/>
      <c r="HF106" s="233"/>
      <c r="HG106" s="233"/>
      <c r="HH106" s="233"/>
      <c r="HI106" s="233"/>
      <c r="HJ106" s="233"/>
      <c r="HK106" s="233"/>
      <c r="HL106" s="233"/>
      <c r="HM106" s="233"/>
      <c r="HN106" s="233"/>
      <c r="HO106" s="233"/>
      <c r="HP106" s="233"/>
      <c r="HQ106" s="233"/>
      <c r="HR106" s="233"/>
      <c r="HS106" s="233"/>
      <c r="HT106" s="233"/>
      <c r="HU106" s="233"/>
      <c r="HV106" s="233"/>
      <c r="HW106" s="233"/>
      <c r="HX106" s="233"/>
      <c r="HY106" s="233"/>
      <c r="HZ106" s="233"/>
      <c r="IA106" s="233"/>
      <c r="IB106" s="233"/>
      <c r="IC106" s="233"/>
      <c r="ID106" s="233"/>
      <c r="IE106" s="233"/>
      <c r="IF106" s="233"/>
      <c r="IG106" s="233"/>
      <c r="IH106" s="233"/>
      <c r="II106" s="233"/>
      <c r="IJ106" s="233"/>
      <c r="IK106" s="233"/>
      <c r="IL106" s="233"/>
      <c r="IM106" s="233"/>
      <c r="IN106" s="233"/>
      <c r="IO106" s="233"/>
      <c r="IP106" s="233"/>
      <c r="IQ106" s="233"/>
      <c r="IR106" s="233"/>
      <c r="IS106" s="233"/>
      <c r="IT106" s="233"/>
      <c r="IU106" s="233"/>
      <c r="IV106" s="233"/>
      <c r="IW106" s="233"/>
      <c r="IX106" s="233"/>
      <c r="IY106" s="233"/>
      <c r="IZ106" s="233"/>
      <c r="JA106" s="233"/>
      <c r="JB106" s="233"/>
      <c r="JC106" s="233"/>
      <c r="JD106" s="233"/>
      <c r="JE106" s="233"/>
      <c r="JF106" s="233"/>
      <c r="JG106" s="233"/>
      <c r="JH106" s="233"/>
      <c r="JI106" s="233"/>
      <c r="JJ106" s="233"/>
      <c r="JK106" s="233"/>
      <c r="JL106" s="233"/>
      <c r="JM106" s="233"/>
      <c r="JN106" s="233"/>
      <c r="JO106" s="233"/>
      <c r="JP106" s="233"/>
      <c r="JQ106" s="233"/>
      <c r="JR106" s="233"/>
      <c r="JS106" s="233"/>
      <c r="JT106" s="233"/>
      <c r="JU106" s="233"/>
      <c r="JV106" s="233"/>
      <c r="JW106" s="233"/>
      <c r="JX106" s="233"/>
      <c r="JY106" s="233"/>
      <c r="JZ106" s="233"/>
      <c r="KA106" s="233"/>
      <c r="KB106" s="233"/>
      <c r="KC106" s="233"/>
      <c r="KD106" s="233"/>
      <c r="KE106" s="233"/>
      <c r="KF106" s="233"/>
      <c r="KG106" s="233"/>
      <c r="KH106" s="233"/>
      <c r="KI106" s="233"/>
      <c r="KJ106" s="233"/>
      <c r="KK106" s="233"/>
      <c r="KL106" s="233"/>
      <c r="KM106" s="233"/>
      <c r="KN106" s="233"/>
      <c r="KO106" s="233"/>
      <c r="KP106" s="233"/>
      <c r="KQ106" s="233"/>
      <c r="KR106" s="233"/>
      <c r="KS106" s="233"/>
      <c r="KT106" s="233"/>
      <c r="KU106" s="233"/>
      <c r="KV106" s="233"/>
      <c r="KW106" s="233"/>
      <c r="KX106" s="233"/>
      <c r="KY106" s="233"/>
      <c r="KZ106" s="233"/>
      <c r="LA106" s="233"/>
      <c r="LB106" s="233"/>
      <c r="LC106" s="233"/>
      <c r="LD106" s="233"/>
      <c r="LE106" s="233"/>
      <c r="LF106" s="233"/>
      <c r="LG106" s="233"/>
      <c r="LH106" s="233"/>
      <c r="LI106" s="233"/>
      <c r="LJ106" s="233"/>
      <c r="LK106" s="233"/>
      <c r="LL106" s="233"/>
      <c r="LM106" s="233"/>
      <c r="LN106" s="233"/>
      <c r="LO106" s="233"/>
      <c r="LP106" s="233"/>
      <c r="LQ106" s="233"/>
      <c r="LR106" s="233"/>
      <c r="LS106" s="233"/>
      <c r="LT106" s="233"/>
      <c r="LU106" s="233"/>
      <c r="LV106" s="233"/>
      <c r="LW106" s="233"/>
      <c r="LX106" s="233"/>
      <c r="LY106" s="233"/>
      <c r="LZ106" s="233"/>
      <c r="MA106" s="233"/>
    </row>
    <row r="107" spans="1:339" s="237" customFormat="1" ht="60" customHeight="1" x14ac:dyDescent="0.25">
      <c r="A107" s="242" t="s">
        <v>1304</v>
      </c>
      <c r="B107" s="243" t="s">
        <v>3120</v>
      </c>
      <c r="C107" s="48" t="s">
        <v>3159</v>
      </c>
      <c r="D107" s="244" t="s">
        <v>2467</v>
      </c>
      <c r="E107" s="160" t="s">
        <v>2450</v>
      </c>
      <c r="F107" s="101" t="s">
        <v>212</v>
      </c>
      <c r="G107" s="101"/>
      <c r="H107" s="101"/>
      <c r="I107" s="101"/>
      <c r="J107" s="101"/>
      <c r="K107" s="241">
        <v>76</v>
      </c>
      <c r="L107" s="217" t="s">
        <v>1520</v>
      </c>
      <c r="M107" s="241">
        <f>IF(K107&gt;0,(K107*VLOOKUP(Lookups!$K$11,Lookups!$M$10:$P$43,4,0)/VLOOKUP(L107,Lookups!$M$10:$P$43,4,0)),"")</f>
        <v>78.274149682985112</v>
      </c>
      <c r="N107" s="101"/>
      <c r="O107" s="101"/>
      <c r="P107" s="101"/>
      <c r="Q107" s="81" t="s">
        <v>2454</v>
      </c>
      <c r="R107" s="213" t="s">
        <v>154</v>
      </c>
      <c r="S107" s="216" t="s">
        <v>2495</v>
      </c>
      <c r="T107" s="218" t="s">
        <v>922</v>
      </c>
      <c r="U107" s="4" t="s">
        <v>2294</v>
      </c>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c r="CF107" s="233"/>
      <c r="CG107" s="233"/>
      <c r="CH107" s="233"/>
      <c r="CI107" s="233"/>
      <c r="CJ107" s="233"/>
      <c r="CK107" s="233"/>
      <c r="CL107" s="233"/>
      <c r="CM107" s="233"/>
      <c r="CN107" s="233"/>
      <c r="CO107" s="233"/>
      <c r="CP107" s="233"/>
      <c r="CQ107" s="233"/>
      <c r="CR107" s="233"/>
      <c r="CS107" s="233"/>
      <c r="CT107" s="233"/>
      <c r="CU107" s="233"/>
      <c r="CV107" s="233"/>
      <c r="CW107" s="233"/>
      <c r="CX107" s="233"/>
      <c r="CY107" s="233"/>
      <c r="CZ107" s="233"/>
      <c r="DA107" s="233"/>
      <c r="DB107" s="233"/>
      <c r="DC107" s="233"/>
      <c r="DD107" s="233"/>
      <c r="DE107" s="233"/>
      <c r="DF107" s="233"/>
      <c r="DG107" s="233"/>
      <c r="DH107" s="233"/>
      <c r="DI107" s="233"/>
      <c r="DJ107" s="233"/>
      <c r="DK107" s="233"/>
      <c r="DL107" s="233"/>
      <c r="DM107" s="233"/>
      <c r="DN107" s="233"/>
      <c r="DO107" s="233"/>
      <c r="DP107" s="233"/>
      <c r="DQ107" s="233"/>
      <c r="DR107" s="233"/>
      <c r="DS107" s="233"/>
      <c r="DT107" s="233"/>
      <c r="DU107" s="233"/>
      <c r="DV107" s="233"/>
      <c r="DW107" s="233"/>
      <c r="DX107" s="233"/>
      <c r="DY107" s="233"/>
      <c r="DZ107" s="233"/>
      <c r="EA107" s="233"/>
      <c r="EB107" s="233"/>
      <c r="EC107" s="233"/>
      <c r="ED107" s="233"/>
      <c r="EE107" s="233"/>
      <c r="EF107" s="233"/>
      <c r="EG107" s="233"/>
      <c r="EH107" s="233"/>
      <c r="EI107" s="233"/>
      <c r="EJ107" s="233"/>
      <c r="EK107" s="233"/>
      <c r="EL107" s="233"/>
      <c r="EM107" s="233"/>
      <c r="EN107" s="233"/>
      <c r="EO107" s="233"/>
      <c r="EP107" s="233"/>
      <c r="EQ107" s="233"/>
      <c r="ER107" s="233"/>
      <c r="ES107" s="233"/>
      <c r="ET107" s="233"/>
      <c r="EU107" s="233"/>
      <c r="EV107" s="233"/>
      <c r="EW107" s="233"/>
      <c r="EX107" s="233"/>
      <c r="EY107" s="233"/>
      <c r="EZ107" s="233"/>
      <c r="FA107" s="233"/>
      <c r="FB107" s="233"/>
      <c r="FC107" s="233"/>
      <c r="FD107" s="233"/>
      <c r="FE107" s="233"/>
      <c r="FF107" s="233"/>
      <c r="FG107" s="233"/>
      <c r="FH107" s="233"/>
      <c r="FI107" s="233"/>
      <c r="FJ107" s="233"/>
      <c r="FK107" s="233"/>
      <c r="FL107" s="233"/>
      <c r="FM107" s="233"/>
      <c r="FN107" s="233"/>
      <c r="FO107" s="233"/>
      <c r="FP107" s="233"/>
      <c r="FQ107" s="233"/>
      <c r="FR107" s="233"/>
      <c r="FS107" s="233"/>
      <c r="FT107" s="233"/>
      <c r="FU107" s="233"/>
      <c r="FV107" s="233"/>
      <c r="FW107" s="233"/>
      <c r="FX107" s="233"/>
      <c r="FY107" s="233"/>
      <c r="FZ107" s="233"/>
      <c r="GA107" s="233"/>
      <c r="GB107" s="233"/>
      <c r="GC107" s="233"/>
      <c r="GD107" s="233"/>
      <c r="GE107" s="233"/>
      <c r="GF107" s="233"/>
      <c r="GG107" s="233"/>
      <c r="GH107" s="233"/>
      <c r="GI107" s="233"/>
      <c r="GJ107" s="233"/>
      <c r="GK107" s="233"/>
      <c r="GL107" s="233"/>
      <c r="GM107" s="233"/>
      <c r="GN107" s="233"/>
      <c r="GO107" s="233"/>
      <c r="GP107" s="233"/>
      <c r="GQ107" s="233"/>
      <c r="GR107" s="233"/>
      <c r="GS107" s="233"/>
      <c r="GT107" s="233"/>
      <c r="GU107" s="233"/>
      <c r="GV107" s="233"/>
      <c r="GW107" s="233"/>
      <c r="GX107" s="233"/>
      <c r="GY107" s="233"/>
      <c r="GZ107" s="233"/>
      <c r="HA107" s="233"/>
      <c r="HB107" s="233"/>
      <c r="HC107" s="233"/>
      <c r="HD107" s="233"/>
      <c r="HE107" s="233"/>
      <c r="HF107" s="233"/>
      <c r="HG107" s="233"/>
      <c r="HH107" s="233"/>
      <c r="HI107" s="233"/>
      <c r="HJ107" s="233"/>
      <c r="HK107" s="233"/>
      <c r="HL107" s="233"/>
      <c r="HM107" s="233"/>
      <c r="HN107" s="233"/>
      <c r="HO107" s="233"/>
      <c r="HP107" s="233"/>
      <c r="HQ107" s="233"/>
      <c r="HR107" s="233"/>
      <c r="HS107" s="233"/>
      <c r="HT107" s="233"/>
      <c r="HU107" s="233"/>
      <c r="HV107" s="233"/>
      <c r="HW107" s="233"/>
      <c r="HX107" s="233"/>
      <c r="HY107" s="233"/>
      <c r="HZ107" s="233"/>
      <c r="IA107" s="233"/>
      <c r="IB107" s="233"/>
      <c r="IC107" s="233"/>
      <c r="ID107" s="233"/>
      <c r="IE107" s="233"/>
      <c r="IF107" s="233"/>
      <c r="IG107" s="233"/>
      <c r="IH107" s="233"/>
      <c r="II107" s="233"/>
      <c r="IJ107" s="233"/>
      <c r="IK107" s="233"/>
      <c r="IL107" s="233"/>
      <c r="IM107" s="233"/>
      <c r="IN107" s="233"/>
      <c r="IO107" s="233"/>
      <c r="IP107" s="233"/>
      <c r="IQ107" s="233"/>
      <c r="IR107" s="233"/>
      <c r="IS107" s="233"/>
      <c r="IT107" s="233"/>
      <c r="IU107" s="233"/>
      <c r="IV107" s="233"/>
      <c r="IW107" s="233"/>
      <c r="IX107" s="233"/>
      <c r="IY107" s="233"/>
      <c r="IZ107" s="233"/>
      <c r="JA107" s="233"/>
      <c r="JB107" s="233"/>
      <c r="JC107" s="233"/>
      <c r="JD107" s="233"/>
      <c r="JE107" s="233"/>
      <c r="JF107" s="233"/>
      <c r="JG107" s="233"/>
      <c r="JH107" s="233"/>
      <c r="JI107" s="233"/>
      <c r="JJ107" s="233"/>
      <c r="JK107" s="233"/>
      <c r="JL107" s="233"/>
      <c r="JM107" s="233"/>
      <c r="JN107" s="233"/>
      <c r="JO107" s="233"/>
      <c r="JP107" s="233"/>
      <c r="JQ107" s="233"/>
      <c r="JR107" s="233"/>
      <c r="JS107" s="233"/>
      <c r="JT107" s="233"/>
      <c r="JU107" s="233"/>
      <c r="JV107" s="233"/>
      <c r="JW107" s="233"/>
      <c r="JX107" s="233"/>
      <c r="JY107" s="233"/>
      <c r="JZ107" s="233"/>
      <c r="KA107" s="233"/>
      <c r="KB107" s="233"/>
      <c r="KC107" s="233"/>
      <c r="KD107" s="233"/>
      <c r="KE107" s="233"/>
      <c r="KF107" s="233"/>
      <c r="KG107" s="233"/>
      <c r="KH107" s="233"/>
      <c r="KI107" s="233"/>
      <c r="KJ107" s="233"/>
      <c r="KK107" s="233"/>
      <c r="KL107" s="233"/>
      <c r="KM107" s="233"/>
      <c r="KN107" s="233"/>
      <c r="KO107" s="233"/>
      <c r="KP107" s="233"/>
      <c r="KQ107" s="233"/>
      <c r="KR107" s="233"/>
      <c r="KS107" s="233"/>
      <c r="KT107" s="233"/>
      <c r="KU107" s="233"/>
      <c r="KV107" s="233"/>
      <c r="KW107" s="233"/>
      <c r="KX107" s="233"/>
      <c r="KY107" s="233"/>
      <c r="KZ107" s="233"/>
      <c r="LA107" s="233"/>
      <c r="LB107" s="233"/>
      <c r="LC107" s="233"/>
      <c r="LD107" s="233"/>
      <c r="LE107" s="233"/>
      <c r="LF107" s="233"/>
      <c r="LG107" s="233"/>
      <c r="LH107" s="233"/>
      <c r="LI107" s="233"/>
      <c r="LJ107" s="233"/>
      <c r="LK107" s="233"/>
      <c r="LL107" s="233"/>
      <c r="LM107" s="233"/>
      <c r="LN107" s="233"/>
      <c r="LO107" s="233"/>
      <c r="LP107" s="233"/>
      <c r="LQ107" s="233"/>
      <c r="LR107" s="233"/>
      <c r="LS107" s="233"/>
      <c r="LT107" s="233"/>
      <c r="LU107" s="233"/>
      <c r="LV107" s="233"/>
      <c r="LW107" s="233"/>
      <c r="LX107" s="233"/>
      <c r="LY107" s="233"/>
      <c r="LZ107" s="233"/>
      <c r="MA107" s="233"/>
    </row>
    <row r="108" spans="1:339" s="237" customFormat="1" ht="60" customHeight="1" x14ac:dyDescent="0.25">
      <c r="A108" s="242" t="s">
        <v>1304</v>
      </c>
      <c r="B108" s="243" t="s">
        <v>2654</v>
      </c>
      <c r="C108" s="48" t="s">
        <v>3160</v>
      </c>
      <c r="D108" s="244" t="s">
        <v>2468</v>
      </c>
      <c r="E108" s="160" t="s">
        <v>2486</v>
      </c>
      <c r="F108" s="101" t="s">
        <v>212</v>
      </c>
      <c r="G108" s="101"/>
      <c r="H108" s="101"/>
      <c r="I108" s="101"/>
      <c r="J108" s="101"/>
      <c r="K108" s="241">
        <v>5700000</v>
      </c>
      <c r="L108" s="217" t="s">
        <v>1520</v>
      </c>
      <c r="M108" s="241">
        <f>IF(K108&gt;0,(K108*VLOOKUP(Lookups!$K$11,Lookups!$M$10:$P$43,4,0)/VLOOKUP(L108,Lookups!$M$10:$P$43,4,0)),"")</f>
        <v>5870561.2262238832</v>
      </c>
      <c r="N108" s="101"/>
      <c r="O108" s="101"/>
      <c r="P108" s="101"/>
      <c r="Q108" s="81" t="s">
        <v>3198</v>
      </c>
      <c r="R108" s="213" t="s">
        <v>154</v>
      </c>
      <c r="S108" s="216" t="s">
        <v>2496</v>
      </c>
      <c r="T108" s="218" t="s">
        <v>922</v>
      </c>
      <c r="U108" s="4" t="s">
        <v>2294</v>
      </c>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c r="CF108" s="233"/>
      <c r="CG108" s="233"/>
      <c r="CH108" s="233"/>
      <c r="CI108" s="233"/>
      <c r="CJ108" s="233"/>
      <c r="CK108" s="233"/>
      <c r="CL108" s="233"/>
      <c r="CM108" s="233"/>
      <c r="CN108" s="233"/>
      <c r="CO108" s="233"/>
      <c r="CP108" s="233"/>
      <c r="CQ108" s="233"/>
      <c r="CR108" s="233"/>
      <c r="CS108" s="233"/>
      <c r="CT108" s="233"/>
      <c r="CU108" s="233"/>
      <c r="CV108" s="233"/>
      <c r="CW108" s="233"/>
      <c r="CX108" s="233"/>
      <c r="CY108" s="233"/>
      <c r="CZ108" s="233"/>
      <c r="DA108" s="233"/>
      <c r="DB108" s="233"/>
      <c r="DC108" s="233"/>
      <c r="DD108" s="233"/>
      <c r="DE108" s="233"/>
      <c r="DF108" s="233"/>
      <c r="DG108" s="233"/>
      <c r="DH108" s="233"/>
      <c r="DI108" s="233"/>
      <c r="DJ108" s="233"/>
      <c r="DK108" s="233"/>
      <c r="DL108" s="233"/>
      <c r="DM108" s="233"/>
      <c r="DN108" s="233"/>
      <c r="DO108" s="233"/>
      <c r="DP108" s="233"/>
      <c r="DQ108" s="233"/>
      <c r="DR108" s="233"/>
      <c r="DS108" s="233"/>
      <c r="DT108" s="233"/>
      <c r="DU108" s="233"/>
      <c r="DV108" s="233"/>
      <c r="DW108" s="233"/>
      <c r="DX108" s="233"/>
      <c r="DY108" s="233"/>
      <c r="DZ108" s="233"/>
      <c r="EA108" s="233"/>
      <c r="EB108" s="233"/>
      <c r="EC108" s="233"/>
      <c r="ED108" s="233"/>
      <c r="EE108" s="233"/>
      <c r="EF108" s="233"/>
      <c r="EG108" s="233"/>
      <c r="EH108" s="233"/>
      <c r="EI108" s="233"/>
      <c r="EJ108" s="233"/>
      <c r="EK108" s="233"/>
      <c r="EL108" s="233"/>
      <c r="EM108" s="233"/>
      <c r="EN108" s="233"/>
      <c r="EO108" s="233"/>
      <c r="EP108" s="233"/>
      <c r="EQ108" s="233"/>
      <c r="ER108" s="233"/>
      <c r="ES108" s="233"/>
      <c r="ET108" s="233"/>
      <c r="EU108" s="233"/>
      <c r="EV108" s="233"/>
      <c r="EW108" s="233"/>
      <c r="EX108" s="233"/>
      <c r="EY108" s="233"/>
      <c r="EZ108" s="233"/>
      <c r="FA108" s="233"/>
      <c r="FB108" s="233"/>
      <c r="FC108" s="233"/>
      <c r="FD108" s="233"/>
      <c r="FE108" s="233"/>
      <c r="FF108" s="233"/>
      <c r="FG108" s="233"/>
      <c r="FH108" s="233"/>
      <c r="FI108" s="233"/>
      <c r="FJ108" s="233"/>
      <c r="FK108" s="233"/>
      <c r="FL108" s="233"/>
      <c r="FM108" s="233"/>
      <c r="FN108" s="233"/>
      <c r="FO108" s="233"/>
      <c r="FP108" s="233"/>
      <c r="FQ108" s="233"/>
      <c r="FR108" s="233"/>
      <c r="FS108" s="233"/>
      <c r="FT108" s="233"/>
      <c r="FU108" s="233"/>
      <c r="FV108" s="233"/>
      <c r="FW108" s="233"/>
      <c r="FX108" s="233"/>
      <c r="FY108" s="233"/>
      <c r="FZ108" s="233"/>
      <c r="GA108" s="233"/>
      <c r="GB108" s="233"/>
      <c r="GC108" s="233"/>
      <c r="GD108" s="233"/>
      <c r="GE108" s="233"/>
      <c r="GF108" s="233"/>
      <c r="GG108" s="233"/>
      <c r="GH108" s="233"/>
      <c r="GI108" s="233"/>
      <c r="GJ108" s="233"/>
      <c r="GK108" s="233"/>
      <c r="GL108" s="233"/>
      <c r="GM108" s="233"/>
      <c r="GN108" s="233"/>
      <c r="GO108" s="233"/>
      <c r="GP108" s="233"/>
      <c r="GQ108" s="233"/>
      <c r="GR108" s="233"/>
      <c r="GS108" s="233"/>
      <c r="GT108" s="233"/>
      <c r="GU108" s="233"/>
      <c r="GV108" s="233"/>
      <c r="GW108" s="233"/>
      <c r="GX108" s="233"/>
      <c r="GY108" s="233"/>
      <c r="GZ108" s="233"/>
      <c r="HA108" s="233"/>
      <c r="HB108" s="233"/>
      <c r="HC108" s="233"/>
      <c r="HD108" s="233"/>
      <c r="HE108" s="233"/>
      <c r="HF108" s="233"/>
      <c r="HG108" s="233"/>
      <c r="HH108" s="233"/>
      <c r="HI108" s="233"/>
      <c r="HJ108" s="233"/>
      <c r="HK108" s="233"/>
      <c r="HL108" s="233"/>
      <c r="HM108" s="233"/>
      <c r="HN108" s="233"/>
      <c r="HO108" s="233"/>
      <c r="HP108" s="233"/>
      <c r="HQ108" s="233"/>
      <c r="HR108" s="233"/>
      <c r="HS108" s="233"/>
      <c r="HT108" s="233"/>
      <c r="HU108" s="233"/>
      <c r="HV108" s="233"/>
      <c r="HW108" s="233"/>
      <c r="HX108" s="233"/>
      <c r="HY108" s="233"/>
      <c r="HZ108" s="233"/>
      <c r="IA108" s="233"/>
      <c r="IB108" s="233"/>
      <c r="IC108" s="233"/>
      <c r="ID108" s="233"/>
      <c r="IE108" s="233"/>
      <c r="IF108" s="233"/>
      <c r="IG108" s="233"/>
      <c r="IH108" s="233"/>
      <c r="II108" s="233"/>
      <c r="IJ108" s="233"/>
      <c r="IK108" s="233"/>
      <c r="IL108" s="233"/>
      <c r="IM108" s="233"/>
      <c r="IN108" s="233"/>
      <c r="IO108" s="233"/>
      <c r="IP108" s="233"/>
      <c r="IQ108" s="233"/>
      <c r="IR108" s="233"/>
      <c r="IS108" s="233"/>
      <c r="IT108" s="233"/>
      <c r="IU108" s="233"/>
      <c r="IV108" s="233"/>
      <c r="IW108" s="233"/>
      <c r="IX108" s="233"/>
      <c r="IY108" s="233"/>
      <c r="IZ108" s="233"/>
      <c r="JA108" s="233"/>
      <c r="JB108" s="233"/>
      <c r="JC108" s="233"/>
      <c r="JD108" s="233"/>
      <c r="JE108" s="233"/>
      <c r="JF108" s="233"/>
      <c r="JG108" s="233"/>
      <c r="JH108" s="233"/>
      <c r="JI108" s="233"/>
      <c r="JJ108" s="233"/>
      <c r="JK108" s="233"/>
      <c r="JL108" s="233"/>
      <c r="JM108" s="233"/>
      <c r="JN108" s="233"/>
      <c r="JO108" s="233"/>
      <c r="JP108" s="233"/>
      <c r="JQ108" s="233"/>
      <c r="JR108" s="233"/>
      <c r="JS108" s="233"/>
      <c r="JT108" s="233"/>
      <c r="JU108" s="233"/>
      <c r="JV108" s="233"/>
      <c r="JW108" s="233"/>
      <c r="JX108" s="233"/>
      <c r="JY108" s="233"/>
      <c r="JZ108" s="233"/>
      <c r="KA108" s="233"/>
      <c r="KB108" s="233"/>
      <c r="KC108" s="233"/>
      <c r="KD108" s="233"/>
      <c r="KE108" s="233"/>
      <c r="KF108" s="233"/>
      <c r="KG108" s="233"/>
      <c r="KH108" s="233"/>
      <c r="KI108" s="233"/>
      <c r="KJ108" s="233"/>
      <c r="KK108" s="233"/>
      <c r="KL108" s="233"/>
      <c r="KM108" s="233"/>
      <c r="KN108" s="233"/>
      <c r="KO108" s="233"/>
      <c r="KP108" s="233"/>
      <c r="KQ108" s="233"/>
      <c r="KR108" s="233"/>
      <c r="KS108" s="233"/>
      <c r="KT108" s="233"/>
      <c r="KU108" s="233"/>
      <c r="KV108" s="233"/>
      <c r="KW108" s="233"/>
      <c r="KX108" s="233"/>
      <c r="KY108" s="233"/>
      <c r="KZ108" s="233"/>
      <c r="LA108" s="233"/>
      <c r="LB108" s="233"/>
      <c r="LC108" s="233"/>
      <c r="LD108" s="233"/>
      <c r="LE108" s="233"/>
      <c r="LF108" s="233"/>
      <c r="LG108" s="233"/>
      <c r="LH108" s="233"/>
      <c r="LI108" s="233"/>
      <c r="LJ108" s="233"/>
      <c r="LK108" s="233"/>
      <c r="LL108" s="233"/>
      <c r="LM108" s="233"/>
      <c r="LN108" s="233"/>
      <c r="LO108" s="233"/>
      <c r="LP108" s="233"/>
      <c r="LQ108" s="233"/>
      <c r="LR108" s="233"/>
      <c r="LS108" s="233"/>
      <c r="LT108" s="233"/>
      <c r="LU108" s="233"/>
      <c r="LV108" s="233"/>
      <c r="LW108" s="233"/>
      <c r="LX108" s="233"/>
      <c r="LY108" s="233"/>
      <c r="LZ108" s="233"/>
      <c r="MA108" s="233"/>
    </row>
    <row r="109" spans="1:339" s="237" customFormat="1" ht="60" customHeight="1" x14ac:dyDescent="0.25">
      <c r="A109" s="242" t="s">
        <v>1304</v>
      </c>
      <c r="B109" s="243" t="s">
        <v>2656</v>
      </c>
      <c r="C109" s="48" t="s">
        <v>3161</v>
      </c>
      <c r="D109" s="244" t="s">
        <v>3121</v>
      </c>
      <c r="E109" s="160" t="s">
        <v>2473</v>
      </c>
      <c r="F109" s="101" t="s">
        <v>212</v>
      </c>
      <c r="G109" s="101"/>
      <c r="H109" s="101"/>
      <c r="I109" s="101"/>
      <c r="J109" s="101"/>
      <c r="K109" s="241">
        <v>25400</v>
      </c>
      <c r="L109" s="217" t="s">
        <v>1520</v>
      </c>
      <c r="M109" s="241">
        <f>IF(K109&gt;0,(K109*VLOOKUP(Lookups!$K$11,Lookups!$M$10:$P$43,4,0)/VLOOKUP(L109,Lookups!$M$10:$P$43,4,0)),"")</f>
        <v>26160.044762471338</v>
      </c>
      <c r="N109" s="101"/>
      <c r="O109" s="101"/>
      <c r="P109" s="101"/>
      <c r="Q109" s="81" t="s">
        <v>3198</v>
      </c>
      <c r="R109" s="213" t="s">
        <v>154</v>
      </c>
      <c r="S109" s="216" t="s">
        <v>2490</v>
      </c>
      <c r="T109" s="218" t="s">
        <v>922</v>
      </c>
      <c r="U109" s="4" t="s">
        <v>2294</v>
      </c>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c r="CF109" s="233"/>
      <c r="CG109" s="233"/>
      <c r="CH109" s="233"/>
      <c r="CI109" s="233"/>
      <c r="CJ109" s="233"/>
      <c r="CK109" s="233"/>
      <c r="CL109" s="233"/>
      <c r="CM109" s="233"/>
      <c r="CN109" s="233"/>
      <c r="CO109" s="233"/>
      <c r="CP109" s="233"/>
      <c r="CQ109" s="233"/>
      <c r="CR109" s="233"/>
      <c r="CS109" s="233"/>
      <c r="CT109" s="233"/>
      <c r="CU109" s="233"/>
      <c r="CV109" s="233"/>
      <c r="CW109" s="233"/>
      <c r="CX109" s="233"/>
      <c r="CY109" s="233"/>
      <c r="CZ109" s="233"/>
      <c r="DA109" s="233"/>
      <c r="DB109" s="233"/>
      <c r="DC109" s="233"/>
      <c r="DD109" s="233"/>
      <c r="DE109" s="233"/>
      <c r="DF109" s="233"/>
      <c r="DG109" s="233"/>
      <c r="DH109" s="233"/>
      <c r="DI109" s="233"/>
      <c r="DJ109" s="233"/>
      <c r="DK109" s="233"/>
      <c r="DL109" s="233"/>
      <c r="DM109" s="233"/>
      <c r="DN109" s="233"/>
      <c r="DO109" s="233"/>
      <c r="DP109" s="233"/>
      <c r="DQ109" s="233"/>
      <c r="DR109" s="233"/>
      <c r="DS109" s="233"/>
      <c r="DT109" s="233"/>
      <c r="DU109" s="233"/>
      <c r="DV109" s="233"/>
      <c r="DW109" s="233"/>
      <c r="DX109" s="233"/>
      <c r="DY109" s="233"/>
      <c r="DZ109" s="233"/>
      <c r="EA109" s="233"/>
      <c r="EB109" s="233"/>
      <c r="EC109" s="233"/>
      <c r="ED109" s="233"/>
      <c r="EE109" s="233"/>
      <c r="EF109" s="233"/>
      <c r="EG109" s="233"/>
      <c r="EH109" s="233"/>
      <c r="EI109" s="233"/>
      <c r="EJ109" s="233"/>
      <c r="EK109" s="233"/>
      <c r="EL109" s="233"/>
      <c r="EM109" s="233"/>
      <c r="EN109" s="233"/>
      <c r="EO109" s="233"/>
      <c r="EP109" s="233"/>
      <c r="EQ109" s="233"/>
      <c r="ER109" s="233"/>
      <c r="ES109" s="233"/>
      <c r="ET109" s="233"/>
      <c r="EU109" s="233"/>
      <c r="EV109" s="233"/>
      <c r="EW109" s="233"/>
      <c r="EX109" s="233"/>
      <c r="EY109" s="233"/>
      <c r="EZ109" s="233"/>
      <c r="FA109" s="233"/>
      <c r="FB109" s="233"/>
      <c r="FC109" s="233"/>
      <c r="FD109" s="233"/>
      <c r="FE109" s="233"/>
      <c r="FF109" s="233"/>
      <c r="FG109" s="233"/>
      <c r="FH109" s="233"/>
      <c r="FI109" s="233"/>
      <c r="FJ109" s="233"/>
      <c r="FK109" s="233"/>
      <c r="FL109" s="233"/>
      <c r="FM109" s="233"/>
      <c r="FN109" s="233"/>
      <c r="FO109" s="233"/>
      <c r="FP109" s="233"/>
      <c r="FQ109" s="233"/>
      <c r="FR109" s="233"/>
      <c r="FS109" s="233"/>
      <c r="FT109" s="233"/>
      <c r="FU109" s="233"/>
      <c r="FV109" s="233"/>
      <c r="FW109" s="233"/>
      <c r="FX109" s="233"/>
      <c r="FY109" s="233"/>
      <c r="FZ109" s="233"/>
      <c r="GA109" s="233"/>
      <c r="GB109" s="233"/>
      <c r="GC109" s="233"/>
      <c r="GD109" s="233"/>
      <c r="GE109" s="233"/>
      <c r="GF109" s="233"/>
      <c r="GG109" s="233"/>
      <c r="GH109" s="233"/>
      <c r="GI109" s="233"/>
      <c r="GJ109" s="233"/>
      <c r="GK109" s="233"/>
      <c r="GL109" s="233"/>
      <c r="GM109" s="233"/>
      <c r="GN109" s="233"/>
      <c r="GO109" s="233"/>
      <c r="GP109" s="233"/>
      <c r="GQ109" s="233"/>
      <c r="GR109" s="233"/>
      <c r="GS109" s="233"/>
      <c r="GT109" s="233"/>
      <c r="GU109" s="233"/>
      <c r="GV109" s="233"/>
      <c r="GW109" s="233"/>
      <c r="GX109" s="233"/>
      <c r="GY109" s="233"/>
      <c r="GZ109" s="233"/>
      <c r="HA109" s="233"/>
      <c r="HB109" s="233"/>
      <c r="HC109" s="233"/>
      <c r="HD109" s="233"/>
      <c r="HE109" s="233"/>
      <c r="HF109" s="233"/>
      <c r="HG109" s="233"/>
      <c r="HH109" s="233"/>
      <c r="HI109" s="233"/>
      <c r="HJ109" s="233"/>
      <c r="HK109" s="233"/>
      <c r="HL109" s="233"/>
      <c r="HM109" s="233"/>
      <c r="HN109" s="233"/>
      <c r="HO109" s="233"/>
      <c r="HP109" s="233"/>
      <c r="HQ109" s="233"/>
      <c r="HR109" s="233"/>
      <c r="HS109" s="233"/>
      <c r="HT109" s="233"/>
      <c r="HU109" s="233"/>
      <c r="HV109" s="233"/>
      <c r="HW109" s="233"/>
      <c r="HX109" s="233"/>
      <c r="HY109" s="233"/>
      <c r="HZ109" s="233"/>
      <c r="IA109" s="233"/>
      <c r="IB109" s="233"/>
      <c r="IC109" s="233"/>
      <c r="ID109" s="233"/>
      <c r="IE109" s="233"/>
      <c r="IF109" s="233"/>
      <c r="IG109" s="233"/>
      <c r="IH109" s="233"/>
      <c r="II109" s="233"/>
      <c r="IJ109" s="233"/>
      <c r="IK109" s="233"/>
      <c r="IL109" s="233"/>
      <c r="IM109" s="233"/>
      <c r="IN109" s="233"/>
      <c r="IO109" s="233"/>
      <c r="IP109" s="233"/>
      <c r="IQ109" s="233"/>
      <c r="IR109" s="233"/>
      <c r="IS109" s="233"/>
      <c r="IT109" s="233"/>
      <c r="IU109" s="233"/>
      <c r="IV109" s="233"/>
      <c r="IW109" s="233"/>
      <c r="IX109" s="233"/>
      <c r="IY109" s="233"/>
      <c r="IZ109" s="233"/>
      <c r="JA109" s="233"/>
      <c r="JB109" s="233"/>
      <c r="JC109" s="233"/>
      <c r="JD109" s="233"/>
      <c r="JE109" s="233"/>
      <c r="JF109" s="233"/>
      <c r="JG109" s="233"/>
      <c r="JH109" s="233"/>
      <c r="JI109" s="233"/>
      <c r="JJ109" s="233"/>
      <c r="JK109" s="233"/>
      <c r="JL109" s="233"/>
      <c r="JM109" s="233"/>
      <c r="JN109" s="233"/>
      <c r="JO109" s="233"/>
      <c r="JP109" s="233"/>
      <c r="JQ109" s="233"/>
      <c r="JR109" s="233"/>
      <c r="JS109" s="233"/>
      <c r="JT109" s="233"/>
      <c r="JU109" s="233"/>
      <c r="JV109" s="233"/>
      <c r="JW109" s="233"/>
      <c r="JX109" s="233"/>
      <c r="JY109" s="233"/>
      <c r="JZ109" s="233"/>
      <c r="KA109" s="233"/>
      <c r="KB109" s="233"/>
      <c r="KC109" s="233"/>
      <c r="KD109" s="233"/>
      <c r="KE109" s="233"/>
      <c r="KF109" s="233"/>
      <c r="KG109" s="233"/>
      <c r="KH109" s="233"/>
      <c r="KI109" s="233"/>
      <c r="KJ109" s="233"/>
      <c r="KK109" s="233"/>
      <c r="KL109" s="233"/>
      <c r="KM109" s="233"/>
      <c r="KN109" s="233"/>
      <c r="KO109" s="233"/>
      <c r="KP109" s="233"/>
      <c r="KQ109" s="233"/>
      <c r="KR109" s="233"/>
      <c r="KS109" s="233"/>
      <c r="KT109" s="233"/>
      <c r="KU109" s="233"/>
      <c r="KV109" s="233"/>
      <c r="KW109" s="233"/>
      <c r="KX109" s="233"/>
      <c r="KY109" s="233"/>
      <c r="KZ109" s="233"/>
      <c r="LA109" s="233"/>
      <c r="LB109" s="233"/>
      <c r="LC109" s="233"/>
      <c r="LD109" s="233"/>
      <c r="LE109" s="233"/>
      <c r="LF109" s="233"/>
      <c r="LG109" s="233"/>
      <c r="LH109" s="233"/>
      <c r="LI109" s="233"/>
      <c r="LJ109" s="233"/>
      <c r="LK109" s="233"/>
      <c r="LL109" s="233"/>
      <c r="LM109" s="233"/>
      <c r="LN109" s="233"/>
      <c r="LO109" s="233"/>
      <c r="LP109" s="233"/>
      <c r="LQ109" s="233"/>
      <c r="LR109" s="233"/>
      <c r="LS109" s="233"/>
      <c r="LT109" s="233"/>
      <c r="LU109" s="233"/>
      <c r="LV109" s="233"/>
      <c r="LW109" s="233"/>
      <c r="LX109" s="233"/>
      <c r="LY109" s="233"/>
      <c r="LZ109" s="233"/>
      <c r="MA109" s="233"/>
    </row>
    <row r="110" spans="1:339" s="237" customFormat="1" ht="60" customHeight="1" collapsed="1" x14ac:dyDescent="0.25">
      <c r="A110" s="242" t="s">
        <v>1304</v>
      </c>
      <c r="B110" s="243" t="s">
        <v>2655</v>
      </c>
      <c r="C110" s="48" t="s">
        <v>3162</v>
      </c>
      <c r="D110" s="244" t="s">
        <v>2470</v>
      </c>
      <c r="E110" s="160" t="s">
        <v>2469</v>
      </c>
      <c r="F110" s="101" t="s">
        <v>212</v>
      </c>
      <c r="G110" s="101"/>
      <c r="H110" s="101"/>
      <c r="I110" s="101"/>
      <c r="J110" s="101"/>
      <c r="K110" s="241">
        <v>8000</v>
      </c>
      <c r="L110" s="217" t="s">
        <v>1520</v>
      </c>
      <c r="M110" s="241">
        <f>IF(K110&gt;0,(K110*VLOOKUP(Lookups!$K$11,Lookups!$M$10:$P$43,4,0)/VLOOKUP(L110,Lookups!$M$10:$P$43,4,0)),"")</f>
        <v>8239.3841771563257</v>
      </c>
      <c r="N110" s="101"/>
      <c r="O110" s="101"/>
      <c r="P110" s="101"/>
      <c r="Q110" s="81" t="s">
        <v>3198</v>
      </c>
      <c r="R110" s="213" t="s">
        <v>154</v>
      </c>
      <c r="S110" s="239" t="s">
        <v>2472</v>
      </c>
      <c r="T110" s="218" t="s">
        <v>922</v>
      </c>
      <c r="U110" s="4" t="s">
        <v>2294</v>
      </c>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c r="CF110" s="233"/>
      <c r="CG110" s="233"/>
      <c r="CH110" s="233"/>
      <c r="CI110" s="233"/>
      <c r="CJ110" s="233"/>
      <c r="CK110" s="233"/>
      <c r="CL110" s="233"/>
      <c r="CM110" s="233"/>
      <c r="CN110" s="233"/>
      <c r="CO110" s="233"/>
      <c r="CP110" s="233"/>
      <c r="CQ110" s="233"/>
      <c r="CR110" s="233"/>
      <c r="CS110" s="233"/>
      <c r="CT110" s="233"/>
      <c r="CU110" s="233"/>
      <c r="CV110" s="233"/>
      <c r="CW110" s="233"/>
      <c r="CX110" s="233"/>
      <c r="CY110" s="233"/>
      <c r="CZ110" s="233"/>
      <c r="DA110" s="233"/>
      <c r="DB110" s="233"/>
      <c r="DC110" s="233"/>
      <c r="DD110" s="233"/>
      <c r="DE110" s="233"/>
      <c r="DF110" s="233"/>
      <c r="DG110" s="233"/>
      <c r="DH110" s="233"/>
      <c r="DI110" s="233"/>
      <c r="DJ110" s="233"/>
      <c r="DK110" s="233"/>
      <c r="DL110" s="233"/>
      <c r="DM110" s="233"/>
      <c r="DN110" s="233"/>
      <c r="DO110" s="233"/>
      <c r="DP110" s="233"/>
      <c r="DQ110" s="233"/>
      <c r="DR110" s="233"/>
      <c r="DS110" s="233"/>
      <c r="DT110" s="233"/>
      <c r="DU110" s="233"/>
      <c r="DV110" s="233"/>
      <c r="DW110" s="233"/>
      <c r="DX110" s="233"/>
      <c r="DY110" s="233"/>
      <c r="DZ110" s="233"/>
      <c r="EA110" s="233"/>
      <c r="EB110" s="233"/>
      <c r="EC110" s="233"/>
      <c r="ED110" s="233"/>
      <c r="EE110" s="233"/>
      <c r="EF110" s="233"/>
      <c r="EG110" s="233"/>
      <c r="EH110" s="233"/>
      <c r="EI110" s="233"/>
      <c r="EJ110" s="233"/>
      <c r="EK110" s="233"/>
      <c r="EL110" s="233"/>
      <c r="EM110" s="233"/>
      <c r="EN110" s="233"/>
      <c r="EO110" s="233"/>
      <c r="EP110" s="233"/>
      <c r="EQ110" s="233"/>
      <c r="ER110" s="233"/>
      <c r="ES110" s="233"/>
      <c r="ET110" s="233"/>
      <c r="EU110" s="233"/>
      <c r="EV110" s="233"/>
      <c r="EW110" s="233"/>
      <c r="EX110" s="233"/>
      <c r="EY110" s="233"/>
      <c r="EZ110" s="233"/>
      <c r="FA110" s="233"/>
      <c r="FB110" s="233"/>
      <c r="FC110" s="233"/>
      <c r="FD110" s="233"/>
      <c r="FE110" s="233"/>
      <c r="FF110" s="233"/>
      <c r="FG110" s="233"/>
      <c r="FH110" s="233"/>
      <c r="FI110" s="233"/>
      <c r="FJ110" s="233"/>
      <c r="FK110" s="233"/>
      <c r="FL110" s="233"/>
      <c r="FM110" s="233"/>
      <c r="FN110" s="233"/>
      <c r="FO110" s="233"/>
      <c r="FP110" s="233"/>
      <c r="FQ110" s="233"/>
      <c r="FR110" s="233"/>
      <c r="FS110" s="233"/>
      <c r="FT110" s="233"/>
      <c r="FU110" s="233"/>
      <c r="FV110" s="233"/>
      <c r="FW110" s="233"/>
      <c r="FX110" s="233"/>
      <c r="FY110" s="233"/>
      <c r="FZ110" s="233"/>
      <c r="GA110" s="233"/>
      <c r="GB110" s="233"/>
      <c r="GC110" s="233"/>
      <c r="GD110" s="233"/>
      <c r="GE110" s="233"/>
      <c r="GF110" s="233"/>
      <c r="GG110" s="233"/>
      <c r="GH110" s="233"/>
      <c r="GI110" s="233"/>
      <c r="GJ110" s="233"/>
      <c r="GK110" s="233"/>
      <c r="GL110" s="233"/>
      <c r="GM110" s="233"/>
      <c r="GN110" s="233"/>
      <c r="GO110" s="233"/>
      <c r="GP110" s="233"/>
      <c r="GQ110" s="233"/>
      <c r="GR110" s="233"/>
      <c r="GS110" s="233"/>
      <c r="GT110" s="233"/>
      <c r="GU110" s="233"/>
      <c r="GV110" s="233"/>
      <c r="GW110" s="233"/>
      <c r="GX110" s="233"/>
      <c r="GY110" s="233"/>
      <c r="GZ110" s="233"/>
      <c r="HA110" s="233"/>
      <c r="HB110" s="233"/>
      <c r="HC110" s="233"/>
      <c r="HD110" s="233"/>
      <c r="HE110" s="233"/>
      <c r="HF110" s="233"/>
      <c r="HG110" s="233"/>
      <c r="HH110" s="233"/>
      <c r="HI110" s="233"/>
      <c r="HJ110" s="233"/>
      <c r="HK110" s="233"/>
      <c r="HL110" s="233"/>
      <c r="HM110" s="233"/>
      <c r="HN110" s="233"/>
      <c r="HO110" s="233"/>
      <c r="HP110" s="233"/>
      <c r="HQ110" s="233"/>
      <c r="HR110" s="233"/>
      <c r="HS110" s="233"/>
      <c r="HT110" s="233"/>
      <c r="HU110" s="233"/>
      <c r="HV110" s="233"/>
      <c r="HW110" s="233"/>
      <c r="HX110" s="233"/>
      <c r="HY110" s="233"/>
      <c r="HZ110" s="233"/>
      <c r="IA110" s="233"/>
      <c r="IB110" s="233"/>
      <c r="IC110" s="233"/>
      <c r="ID110" s="233"/>
      <c r="IE110" s="233"/>
      <c r="IF110" s="233"/>
      <c r="IG110" s="233"/>
      <c r="IH110" s="233"/>
      <c r="II110" s="233"/>
      <c r="IJ110" s="233"/>
      <c r="IK110" s="233"/>
      <c r="IL110" s="233"/>
      <c r="IM110" s="233"/>
      <c r="IN110" s="233"/>
      <c r="IO110" s="233"/>
      <c r="IP110" s="233"/>
      <c r="IQ110" s="233"/>
      <c r="IR110" s="233"/>
      <c r="IS110" s="233"/>
      <c r="IT110" s="233"/>
      <c r="IU110" s="233"/>
      <c r="IV110" s="233"/>
      <c r="IW110" s="233"/>
      <c r="IX110" s="233"/>
      <c r="IY110" s="233"/>
      <c r="IZ110" s="233"/>
      <c r="JA110" s="233"/>
      <c r="JB110" s="233"/>
      <c r="JC110" s="233"/>
      <c r="JD110" s="233"/>
      <c r="JE110" s="233"/>
      <c r="JF110" s="233"/>
      <c r="JG110" s="233"/>
      <c r="JH110" s="233"/>
      <c r="JI110" s="233"/>
      <c r="JJ110" s="233"/>
      <c r="JK110" s="233"/>
      <c r="JL110" s="233"/>
      <c r="JM110" s="233"/>
      <c r="JN110" s="233"/>
      <c r="JO110" s="233"/>
      <c r="JP110" s="233"/>
      <c r="JQ110" s="233"/>
      <c r="JR110" s="233"/>
      <c r="JS110" s="233"/>
      <c r="JT110" s="233"/>
      <c r="JU110" s="233"/>
      <c r="JV110" s="233"/>
      <c r="JW110" s="233"/>
      <c r="JX110" s="233"/>
      <c r="JY110" s="233"/>
      <c r="JZ110" s="233"/>
      <c r="KA110" s="233"/>
      <c r="KB110" s="233"/>
      <c r="KC110" s="233"/>
      <c r="KD110" s="233"/>
      <c r="KE110" s="233"/>
      <c r="KF110" s="233"/>
      <c r="KG110" s="233"/>
      <c r="KH110" s="233"/>
      <c r="KI110" s="233"/>
      <c r="KJ110" s="233"/>
      <c r="KK110" s="233"/>
      <c r="KL110" s="233"/>
      <c r="KM110" s="233"/>
      <c r="KN110" s="233"/>
      <c r="KO110" s="233"/>
      <c r="KP110" s="233"/>
      <c r="KQ110" s="233"/>
      <c r="KR110" s="233"/>
      <c r="KS110" s="233"/>
      <c r="KT110" s="233"/>
      <c r="KU110" s="233"/>
      <c r="KV110" s="233"/>
      <c r="KW110" s="233"/>
      <c r="KX110" s="233"/>
      <c r="KY110" s="233"/>
      <c r="KZ110" s="233"/>
      <c r="LA110" s="233"/>
      <c r="LB110" s="233"/>
      <c r="LC110" s="233"/>
      <c r="LD110" s="233"/>
      <c r="LE110" s="233"/>
      <c r="LF110" s="233"/>
      <c r="LG110" s="233"/>
      <c r="LH110" s="233"/>
      <c r="LI110" s="233"/>
      <c r="LJ110" s="233"/>
      <c r="LK110" s="233"/>
      <c r="LL110" s="233"/>
      <c r="LM110" s="233"/>
      <c r="LN110" s="233"/>
      <c r="LO110" s="233"/>
      <c r="LP110" s="233"/>
      <c r="LQ110" s="233"/>
      <c r="LR110" s="233"/>
      <c r="LS110" s="233"/>
      <c r="LT110" s="233"/>
      <c r="LU110" s="233"/>
      <c r="LV110" s="233"/>
      <c r="LW110" s="233"/>
      <c r="LX110" s="233"/>
      <c r="LY110" s="233"/>
      <c r="LZ110" s="233"/>
      <c r="MA110" s="233"/>
    </row>
    <row r="111" spans="1:339" s="237" customFormat="1" ht="60" hidden="1" customHeight="1" outlineLevel="1" x14ac:dyDescent="0.25">
      <c r="A111" s="50" t="s">
        <v>1304</v>
      </c>
      <c r="B111" s="50" t="s">
        <v>2661</v>
      </c>
      <c r="C111" s="50" t="s">
        <v>3163</v>
      </c>
      <c r="D111" s="50" t="s">
        <v>2475</v>
      </c>
      <c r="E111" s="160" t="s">
        <v>2474</v>
      </c>
      <c r="F111" s="101" t="s">
        <v>212</v>
      </c>
      <c r="G111" s="101"/>
      <c r="H111" s="101"/>
      <c r="I111" s="101"/>
      <c r="J111" s="101"/>
      <c r="K111" s="241">
        <v>97</v>
      </c>
      <c r="L111" s="217" t="s">
        <v>1520</v>
      </c>
      <c r="M111" s="241">
        <f>IF(K111&gt;0,(K111*VLOOKUP(Lookups!$K$11,Lookups!$M$10:$P$43,4,0)/VLOOKUP(L111,Lookups!$M$10:$P$43,4,0)),"")</f>
        <v>99.902533148020467</v>
      </c>
      <c r="N111" s="101"/>
      <c r="O111" s="101"/>
      <c r="P111" s="101"/>
      <c r="Q111" s="238" t="s">
        <v>2491</v>
      </c>
      <c r="R111" s="213" t="s">
        <v>154</v>
      </c>
      <c r="S111" s="239" t="s">
        <v>2477</v>
      </c>
      <c r="T111" s="218" t="s">
        <v>922</v>
      </c>
      <c r="U111" s="4" t="s">
        <v>2294</v>
      </c>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c r="CF111" s="233"/>
      <c r="CG111" s="233"/>
      <c r="CH111" s="233"/>
      <c r="CI111" s="233"/>
      <c r="CJ111" s="233"/>
      <c r="CK111" s="233"/>
      <c r="CL111" s="233"/>
      <c r="CM111" s="233"/>
      <c r="CN111" s="233"/>
      <c r="CO111" s="233"/>
      <c r="CP111" s="233"/>
      <c r="CQ111" s="233"/>
      <c r="CR111" s="233"/>
      <c r="CS111" s="233"/>
      <c r="CT111" s="233"/>
      <c r="CU111" s="233"/>
      <c r="CV111" s="233"/>
      <c r="CW111" s="233"/>
      <c r="CX111" s="233"/>
      <c r="CY111" s="233"/>
      <c r="CZ111" s="233"/>
      <c r="DA111" s="233"/>
      <c r="DB111" s="233"/>
      <c r="DC111" s="233"/>
      <c r="DD111" s="233"/>
      <c r="DE111" s="233"/>
      <c r="DF111" s="233"/>
      <c r="DG111" s="233"/>
      <c r="DH111" s="233"/>
      <c r="DI111" s="233"/>
      <c r="DJ111" s="233"/>
      <c r="DK111" s="233"/>
      <c r="DL111" s="233"/>
      <c r="DM111" s="233"/>
      <c r="DN111" s="233"/>
      <c r="DO111" s="233"/>
      <c r="DP111" s="233"/>
      <c r="DQ111" s="233"/>
      <c r="DR111" s="233"/>
      <c r="DS111" s="233"/>
      <c r="DT111" s="233"/>
      <c r="DU111" s="233"/>
      <c r="DV111" s="233"/>
      <c r="DW111" s="233"/>
      <c r="DX111" s="233"/>
      <c r="DY111" s="233"/>
      <c r="DZ111" s="233"/>
      <c r="EA111" s="233"/>
      <c r="EB111" s="233"/>
      <c r="EC111" s="233"/>
      <c r="ED111" s="233"/>
      <c r="EE111" s="233"/>
      <c r="EF111" s="233"/>
      <c r="EG111" s="233"/>
      <c r="EH111" s="233"/>
      <c r="EI111" s="233"/>
      <c r="EJ111" s="233"/>
      <c r="EK111" s="233"/>
      <c r="EL111" s="233"/>
      <c r="EM111" s="233"/>
      <c r="EN111" s="233"/>
      <c r="EO111" s="233"/>
      <c r="EP111" s="233"/>
      <c r="EQ111" s="233"/>
      <c r="ER111" s="233"/>
      <c r="ES111" s="233"/>
      <c r="ET111" s="233"/>
      <c r="EU111" s="233"/>
      <c r="EV111" s="233"/>
      <c r="EW111" s="233"/>
      <c r="EX111" s="233"/>
      <c r="EY111" s="233"/>
      <c r="EZ111" s="233"/>
      <c r="FA111" s="233"/>
      <c r="FB111" s="233"/>
      <c r="FC111" s="233"/>
      <c r="FD111" s="233"/>
      <c r="FE111" s="233"/>
      <c r="FF111" s="233"/>
      <c r="FG111" s="233"/>
      <c r="FH111" s="233"/>
      <c r="FI111" s="233"/>
      <c r="FJ111" s="233"/>
      <c r="FK111" s="233"/>
      <c r="FL111" s="233"/>
      <c r="FM111" s="233"/>
      <c r="FN111" s="233"/>
      <c r="FO111" s="233"/>
      <c r="FP111" s="233"/>
      <c r="FQ111" s="233"/>
      <c r="FR111" s="233"/>
      <c r="FS111" s="233"/>
      <c r="FT111" s="233"/>
      <c r="FU111" s="233"/>
      <c r="FV111" s="233"/>
      <c r="FW111" s="233"/>
      <c r="FX111" s="233"/>
      <c r="FY111" s="233"/>
      <c r="FZ111" s="233"/>
      <c r="GA111" s="233"/>
      <c r="GB111" s="233"/>
      <c r="GC111" s="233"/>
      <c r="GD111" s="233"/>
      <c r="GE111" s="233"/>
      <c r="GF111" s="233"/>
      <c r="GG111" s="233"/>
      <c r="GH111" s="233"/>
      <c r="GI111" s="233"/>
      <c r="GJ111" s="233"/>
      <c r="GK111" s="233"/>
      <c r="GL111" s="233"/>
      <c r="GM111" s="233"/>
      <c r="GN111" s="233"/>
      <c r="GO111" s="233"/>
      <c r="GP111" s="233"/>
      <c r="GQ111" s="233"/>
      <c r="GR111" s="233"/>
      <c r="GS111" s="233"/>
      <c r="GT111" s="233"/>
      <c r="GU111" s="233"/>
      <c r="GV111" s="233"/>
      <c r="GW111" s="233"/>
      <c r="GX111" s="233"/>
      <c r="GY111" s="233"/>
      <c r="GZ111" s="233"/>
      <c r="HA111" s="233"/>
      <c r="HB111" s="233"/>
      <c r="HC111" s="233"/>
      <c r="HD111" s="233"/>
      <c r="HE111" s="233"/>
      <c r="HF111" s="233"/>
      <c r="HG111" s="233"/>
      <c r="HH111" s="233"/>
      <c r="HI111" s="233"/>
      <c r="HJ111" s="233"/>
      <c r="HK111" s="233"/>
      <c r="HL111" s="233"/>
      <c r="HM111" s="233"/>
      <c r="HN111" s="233"/>
      <c r="HO111" s="233"/>
      <c r="HP111" s="233"/>
      <c r="HQ111" s="233"/>
      <c r="HR111" s="233"/>
      <c r="HS111" s="233"/>
      <c r="HT111" s="233"/>
      <c r="HU111" s="233"/>
      <c r="HV111" s="233"/>
      <c r="HW111" s="233"/>
      <c r="HX111" s="233"/>
      <c r="HY111" s="233"/>
      <c r="HZ111" s="233"/>
      <c r="IA111" s="233"/>
      <c r="IB111" s="233"/>
      <c r="IC111" s="233"/>
      <c r="ID111" s="233"/>
      <c r="IE111" s="233"/>
      <c r="IF111" s="233"/>
      <c r="IG111" s="233"/>
      <c r="IH111" s="233"/>
      <c r="II111" s="233"/>
      <c r="IJ111" s="233"/>
      <c r="IK111" s="233"/>
      <c r="IL111" s="233"/>
      <c r="IM111" s="233"/>
      <c r="IN111" s="233"/>
      <c r="IO111" s="233"/>
      <c r="IP111" s="233"/>
      <c r="IQ111" s="233"/>
      <c r="IR111" s="233"/>
      <c r="IS111" s="233"/>
      <c r="IT111" s="233"/>
      <c r="IU111" s="233"/>
      <c r="IV111" s="233"/>
      <c r="IW111" s="233"/>
      <c r="IX111" s="233"/>
      <c r="IY111" s="233"/>
      <c r="IZ111" s="233"/>
      <c r="JA111" s="233"/>
      <c r="JB111" s="233"/>
      <c r="JC111" s="233"/>
      <c r="JD111" s="233"/>
      <c r="JE111" s="233"/>
      <c r="JF111" s="233"/>
      <c r="JG111" s="233"/>
      <c r="JH111" s="233"/>
      <c r="JI111" s="233"/>
      <c r="JJ111" s="233"/>
      <c r="JK111" s="233"/>
      <c r="JL111" s="233"/>
      <c r="JM111" s="233"/>
      <c r="JN111" s="233"/>
      <c r="JO111" s="233"/>
      <c r="JP111" s="233"/>
      <c r="JQ111" s="233"/>
      <c r="JR111" s="233"/>
      <c r="JS111" s="233"/>
      <c r="JT111" s="233"/>
      <c r="JU111" s="233"/>
      <c r="JV111" s="233"/>
      <c r="JW111" s="233"/>
      <c r="JX111" s="233"/>
      <c r="JY111" s="233"/>
      <c r="JZ111" s="233"/>
      <c r="KA111" s="233"/>
      <c r="KB111" s="233"/>
      <c r="KC111" s="233"/>
      <c r="KD111" s="233"/>
      <c r="KE111" s="233"/>
      <c r="KF111" s="233"/>
      <c r="KG111" s="233"/>
      <c r="KH111" s="233"/>
      <c r="KI111" s="233"/>
      <c r="KJ111" s="233"/>
      <c r="KK111" s="233"/>
      <c r="KL111" s="233"/>
      <c r="KM111" s="233"/>
      <c r="KN111" s="233"/>
      <c r="KO111" s="233"/>
      <c r="KP111" s="233"/>
      <c r="KQ111" s="233"/>
      <c r="KR111" s="233"/>
      <c r="KS111" s="233"/>
      <c r="KT111" s="233"/>
      <c r="KU111" s="233"/>
      <c r="KV111" s="233"/>
      <c r="KW111" s="233"/>
      <c r="KX111" s="233"/>
      <c r="KY111" s="233"/>
      <c r="KZ111" s="233"/>
      <c r="LA111" s="233"/>
      <c r="LB111" s="233"/>
      <c r="LC111" s="233"/>
      <c r="LD111" s="233"/>
      <c r="LE111" s="233"/>
      <c r="LF111" s="233"/>
      <c r="LG111" s="233"/>
      <c r="LH111" s="233"/>
      <c r="LI111" s="233"/>
      <c r="LJ111" s="233"/>
      <c r="LK111" s="233"/>
      <c r="LL111" s="233"/>
      <c r="LM111" s="233"/>
      <c r="LN111" s="233"/>
      <c r="LO111" s="233"/>
      <c r="LP111" s="233"/>
      <c r="LQ111" s="233"/>
      <c r="LR111" s="233"/>
      <c r="LS111" s="233"/>
      <c r="LT111" s="233"/>
      <c r="LU111" s="233"/>
      <c r="LV111" s="233"/>
      <c r="LW111" s="233"/>
      <c r="LX111" s="233"/>
      <c r="LY111" s="233"/>
      <c r="LZ111" s="233"/>
      <c r="MA111" s="233"/>
    </row>
    <row r="112" spans="1:339" s="237" customFormat="1" ht="60" customHeight="1" collapsed="1" x14ac:dyDescent="0.25">
      <c r="A112" s="242" t="s">
        <v>1304</v>
      </c>
      <c r="B112" s="243" t="s">
        <v>2655</v>
      </c>
      <c r="C112" s="48" t="s">
        <v>3164</v>
      </c>
      <c r="D112" s="244" t="s">
        <v>2471</v>
      </c>
      <c r="E112" s="160" t="s">
        <v>2469</v>
      </c>
      <c r="F112" s="101" t="s">
        <v>212</v>
      </c>
      <c r="G112" s="101"/>
      <c r="H112" s="101"/>
      <c r="I112" s="101"/>
      <c r="J112" s="101"/>
      <c r="K112" s="241">
        <v>45000</v>
      </c>
      <c r="L112" s="217" t="s">
        <v>1520</v>
      </c>
      <c r="M112" s="241">
        <f>IF(K112&gt;0,(K112*VLOOKUP(Lookups!$K$11,Lookups!$M$10:$P$43,4,0)/VLOOKUP(L112,Lookups!$M$10:$P$43,4,0)),"")</f>
        <v>46346.535996504332</v>
      </c>
      <c r="N112" s="101"/>
      <c r="O112" s="101"/>
      <c r="P112" s="101"/>
      <c r="Q112" s="81" t="s">
        <v>3198</v>
      </c>
      <c r="R112" s="213" t="s">
        <v>154</v>
      </c>
      <c r="S112" s="216" t="s">
        <v>2472</v>
      </c>
      <c r="T112" s="218" t="s">
        <v>922</v>
      </c>
      <c r="U112" s="4" t="s">
        <v>2294</v>
      </c>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c r="CF112" s="233"/>
      <c r="CG112" s="233"/>
      <c r="CH112" s="233"/>
      <c r="CI112" s="233"/>
      <c r="CJ112" s="233"/>
      <c r="CK112" s="233"/>
      <c r="CL112" s="233"/>
      <c r="CM112" s="233"/>
      <c r="CN112" s="233"/>
      <c r="CO112" s="233"/>
      <c r="CP112" s="233"/>
      <c r="CQ112" s="233"/>
      <c r="CR112" s="233"/>
      <c r="CS112" s="233"/>
      <c r="CT112" s="233"/>
      <c r="CU112" s="233"/>
      <c r="CV112" s="233"/>
      <c r="CW112" s="233"/>
      <c r="CX112" s="233"/>
      <c r="CY112" s="233"/>
      <c r="CZ112" s="233"/>
      <c r="DA112" s="233"/>
      <c r="DB112" s="233"/>
      <c r="DC112" s="233"/>
      <c r="DD112" s="233"/>
      <c r="DE112" s="233"/>
      <c r="DF112" s="233"/>
      <c r="DG112" s="233"/>
      <c r="DH112" s="233"/>
      <c r="DI112" s="233"/>
      <c r="DJ112" s="233"/>
      <c r="DK112" s="233"/>
      <c r="DL112" s="233"/>
      <c r="DM112" s="233"/>
      <c r="DN112" s="233"/>
      <c r="DO112" s="233"/>
      <c r="DP112" s="233"/>
      <c r="DQ112" s="233"/>
      <c r="DR112" s="233"/>
      <c r="DS112" s="233"/>
      <c r="DT112" s="233"/>
      <c r="DU112" s="233"/>
      <c r="DV112" s="233"/>
      <c r="DW112" s="233"/>
      <c r="DX112" s="233"/>
      <c r="DY112" s="233"/>
      <c r="DZ112" s="233"/>
      <c r="EA112" s="233"/>
      <c r="EB112" s="233"/>
      <c r="EC112" s="233"/>
      <c r="ED112" s="233"/>
      <c r="EE112" s="233"/>
      <c r="EF112" s="233"/>
      <c r="EG112" s="233"/>
      <c r="EH112" s="233"/>
      <c r="EI112" s="233"/>
      <c r="EJ112" s="233"/>
      <c r="EK112" s="233"/>
      <c r="EL112" s="233"/>
      <c r="EM112" s="233"/>
      <c r="EN112" s="233"/>
      <c r="EO112" s="233"/>
      <c r="EP112" s="233"/>
      <c r="EQ112" s="233"/>
      <c r="ER112" s="233"/>
      <c r="ES112" s="233"/>
      <c r="ET112" s="233"/>
      <c r="EU112" s="233"/>
      <c r="EV112" s="233"/>
      <c r="EW112" s="233"/>
      <c r="EX112" s="233"/>
      <c r="EY112" s="233"/>
      <c r="EZ112" s="233"/>
      <c r="FA112" s="233"/>
      <c r="FB112" s="233"/>
      <c r="FC112" s="233"/>
      <c r="FD112" s="233"/>
      <c r="FE112" s="233"/>
      <c r="FF112" s="233"/>
      <c r="FG112" s="233"/>
      <c r="FH112" s="233"/>
      <c r="FI112" s="233"/>
      <c r="FJ112" s="233"/>
      <c r="FK112" s="233"/>
      <c r="FL112" s="233"/>
      <c r="FM112" s="233"/>
      <c r="FN112" s="233"/>
      <c r="FO112" s="233"/>
      <c r="FP112" s="233"/>
      <c r="FQ112" s="233"/>
      <c r="FR112" s="233"/>
      <c r="FS112" s="233"/>
      <c r="FT112" s="233"/>
      <c r="FU112" s="233"/>
      <c r="FV112" s="233"/>
      <c r="FW112" s="233"/>
      <c r="FX112" s="233"/>
      <c r="FY112" s="233"/>
      <c r="FZ112" s="233"/>
      <c r="GA112" s="233"/>
      <c r="GB112" s="233"/>
      <c r="GC112" s="233"/>
      <c r="GD112" s="233"/>
      <c r="GE112" s="233"/>
      <c r="GF112" s="233"/>
      <c r="GG112" s="233"/>
      <c r="GH112" s="233"/>
      <c r="GI112" s="233"/>
      <c r="GJ112" s="233"/>
      <c r="GK112" s="233"/>
      <c r="GL112" s="233"/>
      <c r="GM112" s="233"/>
      <c r="GN112" s="233"/>
      <c r="GO112" s="233"/>
      <c r="GP112" s="233"/>
      <c r="GQ112" s="233"/>
      <c r="GR112" s="233"/>
      <c r="GS112" s="233"/>
      <c r="GT112" s="233"/>
      <c r="GU112" s="233"/>
      <c r="GV112" s="233"/>
      <c r="GW112" s="233"/>
      <c r="GX112" s="233"/>
      <c r="GY112" s="233"/>
      <c r="GZ112" s="233"/>
      <c r="HA112" s="233"/>
      <c r="HB112" s="233"/>
      <c r="HC112" s="233"/>
      <c r="HD112" s="233"/>
      <c r="HE112" s="233"/>
      <c r="HF112" s="233"/>
      <c r="HG112" s="233"/>
      <c r="HH112" s="233"/>
      <c r="HI112" s="233"/>
      <c r="HJ112" s="233"/>
      <c r="HK112" s="233"/>
      <c r="HL112" s="233"/>
      <c r="HM112" s="233"/>
      <c r="HN112" s="233"/>
      <c r="HO112" s="233"/>
      <c r="HP112" s="233"/>
      <c r="HQ112" s="233"/>
      <c r="HR112" s="233"/>
      <c r="HS112" s="233"/>
      <c r="HT112" s="233"/>
      <c r="HU112" s="233"/>
      <c r="HV112" s="233"/>
      <c r="HW112" s="233"/>
      <c r="HX112" s="233"/>
      <c r="HY112" s="233"/>
      <c r="HZ112" s="233"/>
      <c r="IA112" s="233"/>
      <c r="IB112" s="233"/>
      <c r="IC112" s="233"/>
      <c r="ID112" s="233"/>
      <c r="IE112" s="233"/>
      <c r="IF112" s="233"/>
      <c r="IG112" s="233"/>
      <c r="IH112" s="233"/>
      <c r="II112" s="233"/>
      <c r="IJ112" s="233"/>
      <c r="IK112" s="233"/>
      <c r="IL112" s="233"/>
      <c r="IM112" s="233"/>
      <c r="IN112" s="233"/>
      <c r="IO112" s="233"/>
      <c r="IP112" s="233"/>
      <c r="IQ112" s="233"/>
      <c r="IR112" s="233"/>
      <c r="IS112" s="233"/>
      <c r="IT112" s="233"/>
      <c r="IU112" s="233"/>
      <c r="IV112" s="233"/>
      <c r="IW112" s="233"/>
      <c r="IX112" s="233"/>
      <c r="IY112" s="233"/>
      <c r="IZ112" s="233"/>
      <c r="JA112" s="233"/>
      <c r="JB112" s="233"/>
      <c r="JC112" s="233"/>
      <c r="JD112" s="233"/>
      <c r="JE112" s="233"/>
      <c r="JF112" s="233"/>
      <c r="JG112" s="233"/>
      <c r="JH112" s="233"/>
      <c r="JI112" s="233"/>
      <c r="JJ112" s="233"/>
      <c r="JK112" s="233"/>
      <c r="JL112" s="233"/>
      <c r="JM112" s="233"/>
      <c r="JN112" s="233"/>
      <c r="JO112" s="233"/>
      <c r="JP112" s="233"/>
      <c r="JQ112" s="233"/>
      <c r="JR112" s="233"/>
      <c r="JS112" s="233"/>
      <c r="JT112" s="233"/>
      <c r="JU112" s="233"/>
      <c r="JV112" s="233"/>
      <c r="JW112" s="233"/>
      <c r="JX112" s="233"/>
      <c r="JY112" s="233"/>
      <c r="JZ112" s="233"/>
      <c r="KA112" s="233"/>
      <c r="KB112" s="233"/>
      <c r="KC112" s="233"/>
      <c r="KD112" s="233"/>
      <c r="KE112" s="233"/>
      <c r="KF112" s="233"/>
      <c r="KG112" s="233"/>
      <c r="KH112" s="233"/>
      <c r="KI112" s="233"/>
      <c r="KJ112" s="233"/>
      <c r="KK112" s="233"/>
      <c r="KL112" s="233"/>
      <c r="KM112" s="233"/>
      <c r="KN112" s="233"/>
      <c r="KO112" s="233"/>
      <c r="KP112" s="233"/>
      <c r="KQ112" s="233"/>
      <c r="KR112" s="233"/>
      <c r="KS112" s="233"/>
      <c r="KT112" s="233"/>
      <c r="KU112" s="233"/>
      <c r="KV112" s="233"/>
      <c r="KW112" s="233"/>
      <c r="KX112" s="233"/>
      <c r="KY112" s="233"/>
      <c r="KZ112" s="233"/>
      <c r="LA112" s="233"/>
      <c r="LB112" s="233"/>
      <c r="LC112" s="233"/>
      <c r="LD112" s="233"/>
      <c r="LE112" s="233"/>
      <c r="LF112" s="233"/>
      <c r="LG112" s="233"/>
      <c r="LH112" s="233"/>
      <c r="LI112" s="233"/>
      <c r="LJ112" s="233"/>
      <c r="LK112" s="233"/>
      <c r="LL112" s="233"/>
      <c r="LM112" s="233"/>
      <c r="LN112" s="233"/>
      <c r="LO112" s="233"/>
      <c r="LP112" s="233"/>
      <c r="LQ112" s="233"/>
      <c r="LR112" s="233"/>
      <c r="LS112" s="233"/>
      <c r="LT112" s="233"/>
      <c r="LU112" s="233"/>
      <c r="LV112" s="233"/>
      <c r="LW112" s="233"/>
      <c r="LX112" s="233"/>
      <c r="LY112" s="233"/>
      <c r="LZ112" s="233"/>
      <c r="MA112" s="233"/>
    </row>
    <row r="113" spans="1:339" s="237" customFormat="1" ht="60" hidden="1" customHeight="1" outlineLevel="1" x14ac:dyDescent="0.25">
      <c r="A113" s="50" t="s">
        <v>1304</v>
      </c>
      <c r="B113" s="50" t="s">
        <v>2661</v>
      </c>
      <c r="C113" s="50" t="s">
        <v>3165</v>
      </c>
      <c r="D113" s="50" t="s">
        <v>2476</v>
      </c>
      <c r="E113" s="160" t="s">
        <v>2474</v>
      </c>
      <c r="F113" s="101" t="s">
        <v>212</v>
      </c>
      <c r="G113" s="101"/>
      <c r="H113" s="101"/>
      <c r="I113" s="101"/>
      <c r="J113" s="101"/>
      <c r="K113" s="241">
        <v>242</v>
      </c>
      <c r="L113" s="217" t="s">
        <v>1520</v>
      </c>
      <c r="M113" s="241">
        <f>IF(K113&gt;0,(K113*VLOOKUP(Lookups!$K$11,Lookups!$M$10:$P$43,4,0)/VLOOKUP(L113,Lookups!$M$10:$P$43,4,0)),"")</f>
        <v>249.24137135897888</v>
      </c>
      <c r="N113" s="101"/>
      <c r="O113" s="101"/>
      <c r="P113" s="101"/>
      <c r="Q113" s="238" t="s">
        <v>2491</v>
      </c>
      <c r="R113" s="213" t="s">
        <v>154</v>
      </c>
      <c r="S113" s="239" t="s">
        <v>2477</v>
      </c>
      <c r="T113" s="218" t="s">
        <v>922</v>
      </c>
      <c r="U113" s="4" t="s">
        <v>2294</v>
      </c>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c r="CF113" s="233"/>
      <c r="CG113" s="233"/>
      <c r="CH113" s="233"/>
      <c r="CI113" s="233"/>
      <c r="CJ113" s="233"/>
      <c r="CK113" s="233"/>
      <c r="CL113" s="233"/>
      <c r="CM113" s="233"/>
      <c r="CN113" s="233"/>
      <c r="CO113" s="233"/>
      <c r="CP113" s="233"/>
      <c r="CQ113" s="233"/>
      <c r="CR113" s="233"/>
      <c r="CS113" s="233"/>
      <c r="CT113" s="233"/>
      <c r="CU113" s="233"/>
      <c r="CV113" s="233"/>
      <c r="CW113" s="233"/>
      <c r="CX113" s="233"/>
      <c r="CY113" s="233"/>
      <c r="CZ113" s="233"/>
      <c r="DA113" s="233"/>
      <c r="DB113" s="233"/>
      <c r="DC113" s="233"/>
      <c r="DD113" s="233"/>
      <c r="DE113" s="233"/>
      <c r="DF113" s="233"/>
      <c r="DG113" s="233"/>
      <c r="DH113" s="233"/>
      <c r="DI113" s="233"/>
      <c r="DJ113" s="233"/>
      <c r="DK113" s="233"/>
      <c r="DL113" s="233"/>
      <c r="DM113" s="233"/>
      <c r="DN113" s="233"/>
      <c r="DO113" s="233"/>
      <c r="DP113" s="233"/>
      <c r="DQ113" s="233"/>
      <c r="DR113" s="233"/>
      <c r="DS113" s="233"/>
      <c r="DT113" s="233"/>
      <c r="DU113" s="233"/>
      <c r="DV113" s="233"/>
      <c r="DW113" s="233"/>
      <c r="DX113" s="233"/>
      <c r="DY113" s="233"/>
      <c r="DZ113" s="233"/>
      <c r="EA113" s="233"/>
      <c r="EB113" s="233"/>
      <c r="EC113" s="233"/>
      <c r="ED113" s="233"/>
      <c r="EE113" s="233"/>
      <c r="EF113" s="233"/>
      <c r="EG113" s="233"/>
      <c r="EH113" s="233"/>
      <c r="EI113" s="233"/>
      <c r="EJ113" s="233"/>
      <c r="EK113" s="233"/>
      <c r="EL113" s="233"/>
      <c r="EM113" s="233"/>
      <c r="EN113" s="233"/>
      <c r="EO113" s="233"/>
      <c r="EP113" s="233"/>
      <c r="EQ113" s="233"/>
      <c r="ER113" s="233"/>
      <c r="ES113" s="233"/>
      <c r="ET113" s="233"/>
      <c r="EU113" s="233"/>
      <c r="EV113" s="233"/>
      <c r="EW113" s="233"/>
      <c r="EX113" s="233"/>
      <c r="EY113" s="233"/>
      <c r="EZ113" s="233"/>
      <c r="FA113" s="233"/>
      <c r="FB113" s="233"/>
      <c r="FC113" s="233"/>
      <c r="FD113" s="233"/>
      <c r="FE113" s="233"/>
      <c r="FF113" s="233"/>
      <c r="FG113" s="233"/>
      <c r="FH113" s="233"/>
      <c r="FI113" s="233"/>
      <c r="FJ113" s="233"/>
      <c r="FK113" s="233"/>
      <c r="FL113" s="233"/>
      <c r="FM113" s="233"/>
      <c r="FN113" s="233"/>
      <c r="FO113" s="233"/>
      <c r="FP113" s="233"/>
      <c r="FQ113" s="233"/>
      <c r="FR113" s="233"/>
      <c r="FS113" s="233"/>
      <c r="FT113" s="233"/>
      <c r="FU113" s="233"/>
      <c r="FV113" s="233"/>
      <c r="FW113" s="233"/>
      <c r="FX113" s="233"/>
      <c r="FY113" s="233"/>
      <c r="FZ113" s="233"/>
      <c r="GA113" s="233"/>
      <c r="GB113" s="233"/>
      <c r="GC113" s="233"/>
      <c r="GD113" s="233"/>
      <c r="GE113" s="233"/>
      <c r="GF113" s="233"/>
      <c r="GG113" s="233"/>
      <c r="GH113" s="233"/>
      <c r="GI113" s="233"/>
      <c r="GJ113" s="233"/>
      <c r="GK113" s="233"/>
      <c r="GL113" s="233"/>
      <c r="GM113" s="233"/>
      <c r="GN113" s="233"/>
      <c r="GO113" s="233"/>
      <c r="GP113" s="233"/>
      <c r="GQ113" s="233"/>
      <c r="GR113" s="233"/>
      <c r="GS113" s="233"/>
      <c r="GT113" s="233"/>
      <c r="GU113" s="233"/>
      <c r="GV113" s="233"/>
      <c r="GW113" s="233"/>
      <c r="GX113" s="233"/>
      <c r="GY113" s="233"/>
      <c r="GZ113" s="233"/>
      <c r="HA113" s="233"/>
      <c r="HB113" s="233"/>
      <c r="HC113" s="233"/>
      <c r="HD113" s="233"/>
      <c r="HE113" s="233"/>
      <c r="HF113" s="233"/>
      <c r="HG113" s="233"/>
      <c r="HH113" s="233"/>
      <c r="HI113" s="233"/>
      <c r="HJ113" s="233"/>
      <c r="HK113" s="233"/>
      <c r="HL113" s="233"/>
      <c r="HM113" s="233"/>
      <c r="HN113" s="233"/>
      <c r="HO113" s="233"/>
      <c r="HP113" s="233"/>
      <c r="HQ113" s="233"/>
      <c r="HR113" s="233"/>
      <c r="HS113" s="233"/>
      <c r="HT113" s="233"/>
      <c r="HU113" s="233"/>
      <c r="HV113" s="233"/>
      <c r="HW113" s="233"/>
      <c r="HX113" s="233"/>
      <c r="HY113" s="233"/>
      <c r="HZ113" s="233"/>
      <c r="IA113" s="233"/>
      <c r="IB113" s="233"/>
      <c r="IC113" s="233"/>
      <c r="ID113" s="233"/>
      <c r="IE113" s="233"/>
      <c r="IF113" s="233"/>
      <c r="IG113" s="233"/>
      <c r="IH113" s="233"/>
      <c r="II113" s="233"/>
      <c r="IJ113" s="233"/>
      <c r="IK113" s="233"/>
      <c r="IL113" s="233"/>
      <c r="IM113" s="233"/>
      <c r="IN113" s="233"/>
      <c r="IO113" s="233"/>
      <c r="IP113" s="233"/>
      <c r="IQ113" s="233"/>
      <c r="IR113" s="233"/>
      <c r="IS113" s="233"/>
      <c r="IT113" s="233"/>
      <c r="IU113" s="233"/>
      <c r="IV113" s="233"/>
      <c r="IW113" s="233"/>
      <c r="IX113" s="233"/>
      <c r="IY113" s="233"/>
      <c r="IZ113" s="233"/>
      <c r="JA113" s="233"/>
      <c r="JB113" s="233"/>
      <c r="JC113" s="233"/>
      <c r="JD113" s="233"/>
      <c r="JE113" s="233"/>
      <c r="JF113" s="233"/>
      <c r="JG113" s="233"/>
      <c r="JH113" s="233"/>
      <c r="JI113" s="233"/>
      <c r="JJ113" s="233"/>
      <c r="JK113" s="233"/>
      <c r="JL113" s="233"/>
      <c r="JM113" s="233"/>
      <c r="JN113" s="233"/>
      <c r="JO113" s="233"/>
      <c r="JP113" s="233"/>
      <c r="JQ113" s="233"/>
      <c r="JR113" s="233"/>
      <c r="JS113" s="233"/>
      <c r="JT113" s="233"/>
      <c r="JU113" s="233"/>
      <c r="JV113" s="233"/>
      <c r="JW113" s="233"/>
      <c r="JX113" s="233"/>
      <c r="JY113" s="233"/>
      <c r="JZ113" s="233"/>
      <c r="KA113" s="233"/>
      <c r="KB113" s="233"/>
      <c r="KC113" s="233"/>
      <c r="KD113" s="233"/>
      <c r="KE113" s="233"/>
      <c r="KF113" s="233"/>
      <c r="KG113" s="233"/>
      <c r="KH113" s="233"/>
      <c r="KI113" s="233"/>
      <c r="KJ113" s="233"/>
      <c r="KK113" s="233"/>
      <c r="KL113" s="233"/>
      <c r="KM113" s="233"/>
      <c r="KN113" s="233"/>
      <c r="KO113" s="233"/>
      <c r="KP113" s="233"/>
      <c r="KQ113" s="233"/>
      <c r="KR113" s="233"/>
      <c r="KS113" s="233"/>
      <c r="KT113" s="233"/>
      <c r="KU113" s="233"/>
      <c r="KV113" s="233"/>
      <c r="KW113" s="233"/>
      <c r="KX113" s="233"/>
      <c r="KY113" s="233"/>
      <c r="KZ113" s="233"/>
      <c r="LA113" s="233"/>
      <c r="LB113" s="233"/>
      <c r="LC113" s="233"/>
      <c r="LD113" s="233"/>
      <c r="LE113" s="233"/>
      <c r="LF113" s="233"/>
      <c r="LG113" s="233"/>
      <c r="LH113" s="233"/>
      <c r="LI113" s="233"/>
      <c r="LJ113" s="233"/>
      <c r="LK113" s="233"/>
      <c r="LL113" s="233"/>
      <c r="LM113" s="233"/>
      <c r="LN113" s="233"/>
      <c r="LO113" s="233"/>
      <c r="LP113" s="233"/>
      <c r="LQ113" s="233"/>
      <c r="LR113" s="233"/>
      <c r="LS113" s="233"/>
      <c r="LT113" s="233"/>
      <c r="LU113" s="233"/>
      <c r="LV113" s="233"/>
      <c r="LW113" s="233"/>
      <c r="LX113" s="233"/>
      <c r="LY113" s="233"/>
      <c r="LZ113" s="233"/>
      <c r="MA113" s="233"/>
    </row>
    <row r="114" spans="1:339" s="237" customFormat="1" ht="60" customHeight="1" x14ac:dyDescent="0.25">
      <c r="A114" s="242" t="s">
        <v>1304</v>
      </c>
      <c r="B114" s="243" t="s">
        <v>2657</v>
      </c>
      <c r="C114" s="48" t="s">
        <v>3166</v>
      </c>
      <c r="D114" s="244" t="s">
        <v>2480</v>
      </c>
      <c r="E114" s="160" t="s">
        <v>2478</v>
      </c>
      <c r="F114" s="101" t="s">
        <v>212</v>
      </c>
      <c r="G114" s="101"/>
      <c r="H114" s="101"/>
      <c r="I114" s="101"/>
      <c r="J114" s="101"/>
      <c r="K114" s="241">
        <v>497</v>
      </c>
      <c r="L114" s="217" t="s">
        <v>1520</v>
      </c>
      <c r="M114" s="241">
        <f>IF(K114&gt;0,(K114*VLOOKUP(Lookups!$K$11,Lookups!$M$10:$P$43,4,0)/VLOOKUP(L114,Lookups!$M$10:$P$43,4,0)),"")</f>
        <v>511.87174200583684</v>
      </c>
      <c r="N114" s="101"/>
      <c r="O114" s="101"/>
      <c r="P114" s="101"/>
      <c r="Q114" s="238" t="s">
        <v>2492</v>
      </c>
      <c r="R114" s="213" t="s">
        <v>154</v>
      </c>
      <c r="S114" s="216" t="s">
        <v>2481</v>
      </c>
      <c r="T114" s="218" t="s">
        <v>922</v>
      </c>
      <c r="U114" s="4" t="s">
        <v>2294</v>
      </c>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c r="CF114" s="233"/>
      <c r="CG114" s="233"/>
      <c r="CH114" s="233"/>
      <c r="CI114" s="233"/>
      <c r="CJ114" s="233"/>
      <c r="CK114" s="233"/>
      <c r="CL114" s="233"/>
      <c r="CM114" s="233"/>
      <c r="CN114" s="233"/>
      <c r="CO114" s="233"/>
      <c r="CP114" s="233"/>
      <c r="CQ114" s="233"/>
      <c r="CR114" s="233"/>
      <c r="CS114" s="233"/>
      <c r="CT114" s="233"/>
      <c r="CU114" s="233"/>
      <c r="CV114" s="233"/>
      <c r="CW114" s="233"/>
      <c r="CX114" s="233"/>
      <c r="CY114" s="233"/>
      <c r="CZ114" s="233"/>
      <c r="DA114" s="233"/>
      <c r="DB114" s="233"/>
      <c r="DC114" s="233"/>
      <c r="DD114" s="233"/>
      <c r="DE114" s="233"/>
      <c r="DF114" s="233"/>
      <c r="DG114" s="233"/>
      <c r="DH114" s="233"/>
      <c r="DI114" s="233"/>
      <c r="DJ114" s="233"/>
      <c r="DK114" s="233"/>
      <c r="DL114" s="233"/>
      <c r="DM114" s="233"/>
      <c r="DN114" s="233"/>
      <c r="DO114" s="233"/>
      <c r="DP114" s="233"/>
      <c r="DQ114" s="233"/>
      <c r="DR114" s="233"/>
      <c r="DS114" s="233"/>
      <c r="DT114" s="233"/>
      <c r="DU114" s="233"/>
      <c r="DV114" s="233"/>
      <c r="DW114" s="233"/>
      <c r="DX114" s="233"/>
      <c r="DY114" s="233"/>
      <c r="DZ114" s="233"/>
      <c r="EA114" s="233"/>
      <c r="EB114" s="233"/>
      <c r="EC114" s="233"/>
      <c r="ED114" s="233"/>
      <c r="EE114" s="233"/>
      <c r="EF114" s="233"/>
      <c r="EG114" s="233"/>
      <c r="EH114" s="233"/>
      <c r="EI114" s="233"/>
      <c r="EJ114" s="233"/>
      <c r="EK114" s="233"/>
      <c r="EL114" s="233"/>
      <c r="EM114" s="233"/>
      <c r="EN114" s="233"/>
      <c r="EO114" s="233"/>
      <c r="EP114" s="233"/>
      <c r="EQ114" s="233"/>
      <c r="ER114" s="233"/>
      <c r="ES114" s="233"/>
      <c r="ET114" s="233"/>
      <c r="EU114" s="233"/>
      <c r="EV114" s="233"/>
      <c r="EW114" s="233"/>
      <c r="EX114" s="233"/>
      <c r="EY114" s="233"/>
      <c r="EZ114" s="233"/>
      <c r="FA114" s="233"/>
      <c r="FB114" s="233"/>
      <c r="FC114" s="233"/>
      <c r="FD114" s="233"/>
      <c r="FE114" s="233"/>
      <c r="FF114" s="233"/>
      <c r="FG114" s="233"/>
      <c r="FH114" s="233"/>
      <c r="FI114" s="233"/>
      <c r="FJ114" s="233"/>
      <c r="FK114" s="233"/>
      <c r="FL114" s="233"/>
      <c r="FM114" s="233"/>
      <c r="FN114" s="233"/>
      <c r="FO114" s="233"/>
      <c r="FP114" s="233"/>
      <c r="FQ114" s="233"/>
      <c r="FR114" s="233"/>
      <c r="FS114" s="233"/>
      <c r="FT114" s="233"/>
      <c r="FU114" s="233"/>
      <c r="FV114" s="233"/>
      <c r="FW114" s="233"/>
      <c r="FX114" s="233"/>
      <c r="FY114" s="233"/>
      <c r="FZ114" s="233"/>
      <c r="GA114" s="233"/>
      <c r="GB114" s="233"/>
      <c r="GC114" s="233"/>
      <c r="GD114" s="233"/>
      <c r="GE114" s="233"/>
      <c r="GF114" s="233"/>
      <c r="GG114" s="233"/>
      <c r="GH114" s="233"/>
      <c r="GI114" s="233"/>
      <c r="GJ114" s="233"/>
      <c r="GK114" s="233"/>
      <c r="GL114" s="233"/>
      <c r="GM114" s="233"/>
      <c r="GN114" s="233"/>
      <c r="GO114" s="233"/>
      <c r="GP114" s="233"/>
      <c r="GQ114" s="233"/>
      <c r="GR114" s="233"/>
      <c r="GS114" s="233"/>
      <c r="GT114" s="233"/>
      <c r="GU114" s="233"/>
      <c r="GV114" s="233"/>
      <c r="GW114" s="233"/>
      <c r="GX114" s="233"/>
      <c r="GY114" s="233"/>
      <c r="GZ114" s="233"/>
      <c r="HA114" s="233"/>
      <c r="HB114" s="233"/>
      <c r="HC114" s="233"/>
      <c r="HD114" s="233"/>
      <c r="HE114" s="233"/>
      <c r="HF114" s="233"/>
      <c r="HG114" s="233"/>
      <c r="HH114" s="233"/>
      <c r="HI114" s="233"/>
      <c r="HJ114" s="233"/>
      <c r="HK114" s="233"/>
      <c r="HL114" s="233"/>
      <c r="HM114" s="233"/>
      <c r="HN114" s="233"/>
      <c r="HO114" s="233"/>
      <c r="HP114" s="233"/>
      <c r="HQ114" s="233"/>
      <c r="HR114" s="233"/>
      <c r="HS114" s="233"/>
      <c r="HT114" s="233"/>
      <c r="HU114" s="233"/>
      <c r="HV114" s="233"/>
      <c r="HW114" s="233"/>
      <c r="HX114" s="233"/>
      <c r="HY114" s="233"/>
      <c r="HZ114" s="233"/>
      <c r="IA114" s="233"/>
      <c r="IB114" s="233"/>
      <c r="IC114" s="233"/>
      <c r="ID114" s="233"/>
      <c r="IE114" s="233"/>
      <c r="IF114" s="233"/>
      <c r="IG114" s="233"/>
      <c r="IH114" s="233"/>
      <c r="II114" s="233"/>
      <c r="IJ114" s="233"/>
      <c r="IK114" s="233"/>
      <c r="IL114" s="233"/>
      <c r="IM114" s="233"/>
      <c r="IN114" s="233"/>
      <c r="IO114" s="233"/>
      <c r="IP114" s="233"/>
      <c r="IQ114" s="233"/>
      <c r="IR114" s="233"/>
      <c r="IS114" s="233"/>
      <c r="IT114" s="233"/>
      <c r="IU114" s="233"/>
      <c r="IV114" s="233"/>
      <c r="IW114" s="233"/>
      <c r="IX114" s="233"/>
      <c r="IY114" s="233"/>
      <c r="IZ114" s="233"/>
      <c r="JA114" s="233"/>
      <c r="JB114" s="233"/>
      <c r="JC114" s="233"/>
      <c r="JD114" s="233"/>
      <c r="JE114" s="233"/>
      <c r="JF114" s="233"/>
      <c r="JG114" s="233"/>
      <c r="JH114" s="233"/>
      <c r="JI114" s="233"/>
      <c r="JJ114" s="233"/>
      <c r="JK114" s="233"/>
      <c r="JL114" s="233"/>
      <c r="JM114" s="233"/>
      <c r="JN114" s="233"/>
      <c r="JO114" s="233"/>
      <c r="JP114" s="233"/>
      <c r="JQ114" s="233"/>
      <c r="JR114" s="233"/>
      <c r="JS114" s="233"/>
      <c r="JT114" s="233"/>
      <c r="JU114" s="233"/>
      <c r="JV114" s="233"/>
      <c r="JW114" s="233"/>
      <c r="JX114" s="233"/>
      <c r="JY114" s="233"/>
      <c r="JZ114" s="233"/>
      <c r="KA114" s="233"/>
      <c r="KB114" s="233"/>
      <c r="KC114" s="233"/>
      <c r="KD114" s="233"/>
      <c r="KE114" s="233"/>
      <c r="KF114" s="233"/>
      <c r="KG114" s="233"/>
      <c r="KH114" s="233"/>
      <c r="KI114" s="233"/>
      <c r="KJ114" s="233"/>
      <c r="KK114" s="233"/>
      <c r="KL114" s="233"/>
      <c r="KM114" s="233"/>
      <c r="KN114" s="233"/>
      <c r="KO114" s="233"/>
      <c r="KP114" s="233"/>
      <c r="KQ114" s="233"/>
      <c r="KR114" s="233"/>
      <c r="KS114" s="233"/>
      <c r="KT114" s="233"/>
      <c r="KU114" s="233"/>
      <c r="KV114" s="233"/>
      <c r="KW114" s="233"/>
      <c r="KX114" s="233"/>
      <c r="KY114" s="233"/>
      <c r="KZ114" s="233"/>
      <c r="LA114" s="233"/>
      <c r="LB114" s="233"/>
      <c r="LC114" s="233"/>
      <c r="LD114" s="233"/>
      <c r="LE114" s="233"/>
      <c r="LF114" s="233"/>
      <c r="LG114" s="233"/>
      <c r="LH114" s="233"/>
      <c r="LI114" s="233"/>
      <c r="LJ114" s="233"/>
      <c r="LK114" s="233"/>
      <c r="LL114" s="233"/>
      <c r="LM114" s="233"/>
      <c r="LN114" s="233"/>
      <c r="LO114" s="233"/>
      <c r="LP114" s="233"/>
      <c r="LQ114" s="233"/>
      <c r="LR114" s="233"/>
      <c r="LS114" s="233"/>
      <c r="LT114" s="233"/>
      <c r="LU114" s="233"/>
      <c r="LV114" s="233"/>
      <c r="LW114" s="233"/>
      <c r="LX114" s="233"/>
      <c r="LY114" s="233"/>
      <c r="LZ114" s="233"/>
      <c r="MA114" s="233"/>
    </row>
    <row r="115" spans="1:339" s="237" customFormat="1" ht="60" customHeight="1" x14ac:dyDescent="0.25">
      <c r="A115" s="242" t="s">
        <v>1304</v>
      </c>
      <c r="B115" s="243" t="s">
        <v>2658</v>
      </c>
      <c r="C115" s="48" t="s">
        <v>3167</v>
      </c>
      <c r="D115" s="244" t="s">
        <v>2483</v>
      </c>
      <c r="E115" s="160" t="s">
        <v>2482</v>
      </c>
      <c r="F115" s="101" t="s">
        <v>212</v>
      </c>
      <c r="G115" s="101"/>
      <c r="H115" s="101"/>
      <c r="I115" s="101"/>
      <c r="J115" s="101"/>
      <c r="K115" s="241">
        <v>130</v>
      </c>
      <c r="L115" s="217" t="s">
        <v>1520</v>
      </c>
      <c r="M115" s="241">
        <f>IF(K115&gt;0,(K115*VLOOKUP(Lookups!$K$11,Lookups!$M$10:$P$43,4,0)/VLOOKUP(L115,Lookups!$M$10:$P$43,4,0)),"")</f>
        <v>133.88999287879031</v>
      </c>
      <c r="N115" s="101"/>
      <c r="O115" s="101"/>
      <c r="P115" s="101"/>
      <c r="Q115" s="238" t="s">
        <v>2493</v>
      </c>
      <c r="R115" s="213" t="s">
        <v>154</v>
      </c>
      <c r="S115" s="239" t="s">
        <v>2485</v>
      </c>
      <c r="T115" s="218" t="s">
        <v>922</v>
      </c>
      <c r="U115" s="4" t="s">
        <v>2294</v>
      </c>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33"/>
      <c r="CQ115" s="233"/>
      <c r="CR115" s="233"/>
      <c r="CS115" s="233"/>
      <c r="CT115" s="233"/>
      <c r="CU115" s="233"/>
      <c r="CV115" s="233"/>
      <c r="CW115" s="233"/>
      <c r="CX115" s="233"/>
      <c r="CY115" s="233"/>
      <c r="CZ115" s="233"/>
      <c r="DA115" s="233"/>
      <c r="DB115" s="233"/>
      <c r="DC115" s="233"/>
      <c r="DD115" s="233"/>
      <c r="DE115" s="233"/>
      <c r="DF115" s="233"/>
      <c r="DG115" s="233"/>
      <c r="DH115" s="233"/>
      <c r="DI115" s="233"/>
      <c r="DJ115" s="233"/>
      <c r="DK115" s="233"/>
      <c r="DL115" s="233"/>
      <c r="DM115" s="233"/>
      <c r="DN115" s="233"/>
      <c r="DO115" s="233"/>
      <c r="DP115" s="233"/>
      <c r="DQ115" s="233"/>
      <c r="DR115" s="233"/>
      <c r="DS115" s="233"/>
      <c r="DT115" s="233"/>
      <c r="DU115" s="233"/>
      <c r="DV115" s="233"/>
      <c r="DW115" s="233"/>
      <c r="DX115" s="233"/>
      <c r="DY115" s="233"/>
      <c r="DZ115" s="233"/>
      <c r="EA115" s="233"/>
      <c r="EB115" s="233"/>
      <c r="EC115" s="233"/>
      <c r="ED115" s="233"/>
      <c r="EE115" s="233"/>
      <c r="EF115" s="233"/>
      <c r="EG115" s="233"/>
      <c r="EH115" s="233"/>
      <c r="EI115" s="233"/>
      <c r="EJ115" s="233"/>
      <c r="EK115" s="233"/>
      <c r="EL115" s="233"/>
      <c r="EM115" s="233"/>
      <c r="EN115" s="233"/>
      <c r="EO115" s="233"/>
      <c r="EP115" s="233"/>
      <c r="EQ115" s="233"/>
      <c r="ER115" s="233"/>
      <c r="ES115" s="233"/>
      <c r="ET115" s="233"/>
      <c r="EU115" s="233"/>
      <c r="EV115" s="233"/>
      <c r="EW115" s="233"/>
      <c r="EX115" s="233"/>
      <c r="EY115" s="233"/>
      <c r="EZ115" s="233"/>
      <c r="FA115" s="233"/>
      <c r="FB115" s="233"/>
      <c r="FC115" s="233"/>
      <c r="FD115" s="233"/>
      <c r="FE115" s="233"/>
      <c r="FF115" s="233"/>
      <c r="FG115" s="233"/>
      <c r="FH115" s="233"/>
      <c r="FI115" s="233"/>
      <c r="FJ115" s="233"/>
      <c r="FK115" s="233"/>
      <c r="FL115" s="233"/>
      <c r="FM115" s="233"/>
      <c r="FN115" s="233"/>
      <c r="FO115" s="233"/>
      <c r="FP115" s="233"/>
      <c r="FQ115" s="233"/>
      <c r="FR115" s="233"/>
      <c r="FS115" s="233"/>
      <c r="FT115" s="233"/>
      <c r="FU115" s="233"/>
      <c r="FV115" s="233"/>
      <c r="FW115" s="233"/>
      <c r="FX115" s="233"/>
      <c r="FY115" s="233"/>
      <c r="FZ115" s="233"/>
      <c r="GA115" s="233"/>
      <c r="GB115" s="233"/>
      <c r="GC115" s="233"/>
      <c r="GD115" s="233"/>
      <c r="GE115" s="233"/>
      <c r="GF115" s="233"/>
      <c r="GG115" s="233"/>
      <c r="GH115" s="233"/>
      <c r="GI115" s="233"/>
      <c r="GJ115" s="233"/>
      <c r="GK115" s="233"/>
      <c r="GL115" s="233"/>
      <c r="GM115" s="233"/>
      <c r="GN115" s="233"/>
      <c r="GO115" s="233"/>
      <c r="GP115" s="233"/>
      <c r="GQ115" s="233"/>
      <c r="GR115" s="233"/>
      <c r="GS115" s="233"/>
      <c r="GT115" s="233"/>
      <c r="GU115" s="233"/>
      <c r="GV115" s="233"/>
      <c r="GW115" s="233"/>
      <c r="GX115" s="233"/>
      <c r="GY115" s="233"/>
      <c r="GZ115" s="233"/>
      <c r="HA115" s="233"/>
      <c r="HB115" s="233"/>
      <c r="HC115" s="233"/>
      <c r="HD115" s="233"/>
      <c r="HE115" s="233"/>
      <c r="HF115" s="233"/>
      <c r="HG115" s="233"/>
      <c r="HH115" s="233"/>
      <c r="HI115" s="233"/>
      <c r="HJ115" s="233"/>
      <c r="HK115" s="233"/>
      <c r="HL115" s="233"/>
      <c r="HM115" s="233"/>
      <c r="HN115" s="233"/>
      <c r="HO115" s="233"/>
      <c r="HP115" s="233"/>
      <c r="HQ115" s="233"/>
      <c r="HR115" s="233"/>
      <c r="HS115" s="233"/>
      <c r="HT115" s="233"/>
      <c r="HU115" s="233"/>
      <c r="HV115" s="233"/>
      <c r="HW115" s="233"/>
      <c r="HX115" s="233"/>
      <c r="HY115" s="233"/>
      <c r="HZ115" s="233"/>
      <c r="IA115" s="233"/>
      <c r="IB115" s="233"/>
      <c r="IC115" s="233"/>
      <c r="ID115" s="233"/>
      <c r="IE115" s="233"/>
      <c r="IF115" s="233"/>
      <c r="IG115" s="233"/>
      <c r="IH115" s="233"/>
      <c r="II115" s="233"/>
      <c r="IJ115" s="233"/>
      <c r="IK115" s="233"/>
      <c r="IL115" s="233"/>
      <c r="IM115" s="233"/>
      <c r="IN115" s="233"/>
      <c r="IO115" s="233"/>
      <c r="IP115" s="233"/>
      <c r="IQ115" s="233"/>
      <c r="IR115" s="233"/>
      <c r="IS115" s="233"/>
      <c r="IT115" s="233"/>
      <c r="IU115" s="233"/>
      <c r="IV115" s="233"/>
      <c r="IW115" s="233"/>
      <c r="IX115" s="233"/>
      <c r="IY115" s="233"/>
      <c r="IZ115" s="233"/>
      <c r="JA115" s="233"/>
      <c r="JB115" s="233"/>
      <c r="JC115" s="233"/>
      <c r="JD115" s="233"/>
      <c r="JE115" s="233"/>
      <c r="JF115" s="233"/>
      <c r="JG115" s="233"/>
      <c r="JH115" s="233"/>
      <c r="JI115" s="233"/>
      <c r="JJ115" s="233"/>
      <c r="JK115" s="233"/>
      <c r="JL115" s="233"/>
      <c r="JM115" s="233"/>
      <c r="JN115" s="233"/>
      <c r="JO115" s="233"/>
      <c r="JP115" s="233"/>
      <c r="JQ115" s="233"/>
      <c r="JR115" s="233"/>
      <c r="JS115" s="233"/>
      <c r="JT115" s="233"/>
      <c r="JU115" s="233"/>
      <c r="JV115" s="233"/>
      <c r="JW115" s="233"/>
      <c r="JX115" s="233"/>
      <c r="JY115" s="233"/>
      <c r="JZ115" s="233"/>
      <c r="KA115" s="233"/>
      <c r="KB115" s="233"/>
      <c r="KC115" s="233"/>
      <c r="KD115" s="233"/>
      <c r="KE115" s="233"/>
      <c r="KF115" s="233"/>
      <c r="KG115" s="233"/>
      <c r="KH115" s="233"/>
      <c r="KI115" s="233"/>
      <c r="KJ115" s="233"/>
      <c r="KK115" s="233"/>
      <c r="KL115" s="233"/>
      <c r="KM115" s="233"/>
      <c r="KN115" s="233"/>
      <c r="KO115" s="233"/>
      <c r="KP115" s="233"/>
      <c r="KQ115" s="233"/>
      <c r="KR115" s="233"/>
      <c r="KS115" s="233"/>
      <c r="KT115" s="233"/>
      <c r="KU115" s="233"/>
      <c r="KV115" s="233"/>
      <c r="KW115" s="233"/>
      <c r="KX115" s="233"/>
      <c r="KY115" s="233"/>
      <c r="KZ115" s="233"/>
      <c r="LA115" s="233"/>
      <c r="LB115" s="233"/>
      <c r="LC115" s="233"/>
      <c r="LD115" s="233"/>
      <c r="LE115" s="233"/>
      <c r="LF115" s="233"/>
      <c r="LG115" s="233"/>
      <c r="LH115" s="233"/>
      <c r="LI115" s="233"/>
      <c r="LJ115" s="233"/>
      <c r="LK115" s="233"/>
      <c r="LL115" s="233"/>
      <c r="LM115" s="233"/>
      <c r="LN115" s="233"/>
      <c r="LO115" s="233"/>
      <c r="LP115" s="233"/>
      <c r="LQ115" s="233"/>
      <c r="LR115" s="233"/>
      <c r="LS115" s="233"/>
      <c r="LT115" s="233"/>
      <c r="LU115" s="233"/>
      <c r="LV115" s="233"/>
      <c r="LW115" s="233"/>
      <c r="LX115" s="233"/>
      <c r="LY115" s="233"/>
      <c r="LZ115" s="233"/>
      <c r="MA115" s="233"/>
    </row>
    <row r="116" spans="1:339" s="237" customFormat="1" ht="60" customHeight="1" x14ac:dyDescent="0.25">
      <c r="A116" s="242" t="s">
        <v>1304</v>
      </c>
      <c r="B116" s="243" t="s">
        <v>2658</v>
      </c>
      <c r="C116" s="48" t="s">
        <v>3168</v>
      </c>
      <c r="D116" s="244" t="s">
        <v>2484</v>
      </c>
      <c r="E116" s="160" t="s">
        <v>2482</v>
      </c>
      <c r="F116" s="101" t="s">
        <v>212</v>
      </c>
      <c r="G116" s="101"/>
      <c r="H116" s="101"/>
      <c r="I116" s="101"/>
      <c r="J116" s="101"/>
      <c r="K116" s="241">
        <v>211</v>
      </c>
      <c r="L116" s="217" t="s">
        <v>1520</v>
      </c>
      <c r="M116" s="241">
        <f>IF(K116&gt;0,(K116*VLOOKUP(Lookups!$K$11,Lookups!$M$10:$P$43,4,0)/VLOOKUP(L116,Lookups!$M$10:$P$43,4,0)),"")</f>
        <v>217.31375767249813</v>
      </c>
      <c r="N116" s="101"/>
      <c r="O116" s="101"/>
      <c r="P116" s="101"/>
      <c r="Q116" s="238" t="s">
        <v>2493</v>
      </c>
      <c r="R116" s="213" t="s">
        <v>154</v>
      </c>
      <c r="S116" s="216" t="s">
        <v>2485</v>
      </c>
      <c r="T116" s="218" t="s">
        <v>922</v>
      </c>
      <c r="U116" s="4" t="s">
        <v>2294</v>
      </c>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3"/>
      <c r="CT116" s="233"/>
      <c r="CU116" s="233"/>
      <c r="CV116" s="233"/>
      <c r="CW116" s="233"/>
      <c r="CX116" s="233"/>
      <c r="CY116" s="233"/>
      <c r="CZ116" s="233"/>
      <c r="DA116" s="233"/>
      <c r="DB116" s="233"/>
      <c r="DC116" s="233"/>
      <c r="DD116" s="233"/>
      <c r="DE116" s="233"/>
      <c r="DF116" s="233"/>
      <c r="DG116" s="233"/>
      <c r="DH116" s="233"/>
      <c r="DI116" s="233"/>
      <c r="DJ116" s="233"/>
      <c r="DK116" s="233"/>
      <c r="DL116" s="233"/>
      <c r="DM116" s="233"/>
      <c r="DN116" s="233"/>
      <c r="DO116" s="233"/>
      <c r="DP116" s="233"/>
      <c r="DQ116" s="233"/>
      <c r="DR116" s="233"/>
      <c r="DS116" s="233"/>
      <c r="DT116" s="233"/>
      <c r="DU116" s="233"/>
      <c r="DV116" s="233"/>
      <c r="DW116" s="233"/>
      <c r="DX116" s="233"/>
      <c r="DY116" s="233"/>
      <c r="DZ116" s="233"/>
      <c r="EA116" s="233"/>
      <c r="EB116" s="233"/>
      <c r="EC116" s="233"/>
      <c r="ED116" s="233"/>
      <c r="EE116" s="233"/>
      <c r="EF116" s="233"/>
      <c r="EG116" s="233"/>
      <c r="EH116" s="233"/>
      <c r="EI116" s="233"/>
      <c r="EJ116" s="233"/>
      <c r="EK116" s="233"/>
      <c r="EL116" s="233"/>
      <c r="EM116" s="233"/>
      <c r="EN116" s="233"/>
      <c r="EO116" s="233"/>
      <c r="EP116" s="233"/>
      <c r="EQ116" s="233"/>
      <c r="ER116" s="233"/>
      <c r="ES116" s="233"/>
      <c r="ET116" s="233"/>
      <c r="EU116" s="233"/>
      <c r="EV116" s="233"/>
      <c r="EW116" s="233"/>
      <c r="EX116" s="233"/>
      <c r="EY116" s="233"/>
      <c r="EZ116" s="233"/>
      <c r="FA116" s="233"/>
      <c r="FB116" s="233"/>
      <c r="FC116" s="233"/>
      <c r="FD116" s="233"/>
      <c r="FE116" s="233"/>
      <c r="FF116" s="233"/>
      <c r="FG116" s="233"/>
      <c r="FH116" s="233"/>
      <c r="FI116" s="233"/>
      <c r="FJ116" s="233"/>
      <c r="FK116" s="233"/>
      <c r="FL116" s="233"/>
      <c r="FM116" s="233"/>
      <c r="FN116" s="233"/>
      <c r="FO116" s="233"/>
      <c r="FP116" s="233"/>
      <c r="FQ116" s="233"/>
      <c r="FR116" s="233"/>
      <c r="FS116" s="233"/>
      <c r="FT116" s="233"/>
      <c r="FU116" s="233"/>
      <c r="FV116" s="233"/>
      <c r="FW116" s="233"/>
      <c r="FX116" s="233"/>
      <c r="FY116" s="233"/>
      <c r="FZ116" s="233"/>
      <c r="GA116" s="233"/>
      <c r="GB116" s="233"/>
      <c r="GC116" s="233"/>
      <c r="GD116" s="233"/>
      <c r="GE116" s="233"/>
      <c r="GF116" s="233"/>
      <c r="GG116" s="233"/>
      <c r="GH116" s="233"/>
      <c r="GI116" s="233"/>
      <c r="GJ116" s="233"/>
      <c r="GK116" s="233"/>
      <c r="GL116" s="233"/>
      <c r="GM116" s="233"/>
      <c r="GN116" s="233"/>
      <c r="GO116" s="233"/>
      <c r="GP116" s="233"/>
      <c r="GQ116" s="233"/>
      <c r="GR116" s="233"/>
      <c r="GS116" s="233"/>
      <c r="GT116" s="233"/>
      <c r="GU116" s="233"/>
      <c r="GV116" s="233"/>
      <c r="GW116" s="233"/>
      <c r="GX116" s="233"/>
      <c r="GY116" s="233"/>
      <c r="GZ116" s="233"/>
      <c r="HA116" s="233"/>
      <c r="HB116" s="233"/>
      <c r="HC116" s="233"/>
      <c r="HD116" s="233"/>
      <c r="HE116" s="233"/>
      <c r="HF116" s="233"/>
      <c r="HG116" s="233"/>
      <c r="HH116" s="233"/>
      <c r="HI116" s="233"/>
      <c r="HJ116" s="233"/>
      <c r="HK116" s="233"/>
      <c r="HL116" s="233"/>
      <c r="HM116" s="233"/>
      <c r="HN116" s="233"/>
      <c r="HO116" s="233"/>
      <c r="HP116" s="233"/>
      <c r="HQ116" s="233"/>
      <c r="HR116" s="233"/>
      <c r="HS116" s="233"/>
      <c r="HT116" s="233"/>
      <c r="HU116" s="233"/>
      <c r="HV116" s="233"/>
      <c r="HW116" s="233"/>
      <c r="HX116" s="233"/>
      <c r="HY116" s="233"/>
      <c r="HZ116" s="233"/>
      <c r="IA116" s="233"/>
      <c r="IB116" s="233"/>
      <c r="IC116" s="233"/>
      <c r="ID116" s="233"/>
      <c r="IE116" s="233"/>
      <c r="IF116" s="233"/>
      <c r="IG116" s="233"/>
      <c r="IH116" s="233"/>
      <c r="II116" s="233"/>
      <c r="IJ116" s="233"/>
      <c r="IK116" s="233"/>
      <c r="IL116" s="233"/>
      <c r="IM116" s="233"/>
      <c r="IN116" s="233"/>
      <c r="IO116" s="233"/>
      <c r="IP116" s="233"/>
      <c r="IQ116" s="233"/>
      <c r="IR116" s="233"/>
      <c r="IS116" s="233"/>
      <c r="IT116" s="233"/>
      <c r="IU116" s="233"/>
      <c r="IV116" s="233"/>
      <c r="IW116" s="233"/>
      <c r="IX116" s="233"/>
      <c r="IY116" s="233"/>
      <c r="IZ116" s="233"/>
      <c r="JA116" s="233"/>
      <c r="JB116" s="233"/>
      <c r="JC116" s="233"/>
      <c r="JD116" s="233"/>
      <c r="JE116" s="233"/>
      <c r="JF116" s="233"/>
      <c r="JG116" s="233"/>
      <c r="JH116" s="233"/>
      <c r="JI116" s="233"/>
      <c r="JJ116" s="233"/>
      <c r="JK116" s="233"/>
      <c r="JL116" s="233"/>
      <c r="JM116" s="233"/>
      <c r="JN116" s="233"/>
      <c r="JO116" s="233"/>
      <c r="JP116" s="233"/>
      <c r="JQ116" s="233"/>
      <c r="JR116" s="233"/>
      <c r="JS116" s="233"/>
      <c r="JT116" s="233"/>
      <c r="JU116" s="233"/>
      <c r="JV116" s="233"/>
      <c r="JW116" s="233"/>
      <c r="JX116" s="233"/>
      <c r="JY116" s="233"/>
      <c r="JZ116" s="233"/>
      <c r="KA116" s="233"/>
      <c r="KB116" s="233"/>
      <c r="KC116" s="233"/>
      <c r="KD116" s="233"/>
      <c r="KE116" s="233"/>
      <c r="KF116" s="233"/>
      <c r="KG116" s="233"/>
      <c r="KH116" s="233"/>
      <c r="KI116" s="233"/>
      <c r="KJ116" s="233"/>
      <c r="KK116" s="233"/>
      <c r="KL116" s="233"/>
      <c r="KM116" s="233"/>
      <c r="KN116" s="233"/>
      <c r="KO116" s="233"/>
      <c r="KP116" s="233"/>
      <c r="KQ116" s="233"/>
      <c r="KR116" s="233"/>
      <c r="KS116" s="233"/>
      <c r="KT116" s="233"/>
      <c r="KU116" s="233"/>
      <c r="KV116" s="233"/>
      <c r="KW116" s="233"/>
      <c r="KX116" s="233"/>
      <c r="KY116" s="233"/>
      <c r="KZ116" s="233"/>
      <c r="LA116" s="233"/>
      <c r="LB116" s="233"/>
      <c r="LC116" s="233"/>
      <c r="LD116" s="233"/>
      <c r="LE116" s="233"/>
      <c r="LF116" s="233"/>
      <c r="LG116" s="233"/>
      <c r="LH116" s="233"/>
      <c r="LI116" s="233"/>
      <c r="LJ116" s="233"/>
      <c r="LK116" s="233"/>
      <c r="LL116" s="233"/>
      <c r="LM116" s="233"/>
      <c r="LN116" s="233"/>
      <c r="LO116" s="233"/>
      <c r="LP116" s="233"/>
      <c r="LQ116" s="233"/>
      <c r="LR116" s="233"/>
      <c r="LS116" s="233"/>
      <c r="LT116" s="233"/>
      <c r="LU116" s="233"/>
      <c r="LV116" s="233"/>
      <c r="LW116" s="233"/>
      <c r="LX116" s="233"/>
      <c r="LY116" s="233"/>
      <c r="LZ116" s="233"/>
      <c r="MA116" s="233"/>
    </row>
  </sheetData>
  <sheetProtection sheet="1" objects="1" scenarios="1" formatColumns="0" formatRows="0"/>
  <mergeCells count="5">
    <mergeCell ref="T1:U1"/>
    <mergeCell ref="H1:J1"/>
    <mergeCell ref="K1:M1"/>
    <mergeCell ref="N1:P1"/>
    <mergeCell ref="F1:G1"/>
  </mergeCells>
  <phoneticPr fontId="6" type="noConversion"/>
  <dataValidations count="8">
    <dataValidation type="list" allowBlank="1" showInputMessage="1" showErrorMessage="1" sqref="G40:G45 F3:F116" xr:uid="{4B27E187-7BDD-4BAB-B841-4B568162728E}">
      <formula1>Level1agencysaving</formula1>
    </dataValidation>
    <dataValidation type="list" allowBlank="1" showInputMessage="1" showErrorMessage="1" sqref="G3:G39 G46:G96" xr:uid="{081A3AD9-AAB1-4871-93C0-9F9908EEA447}">
      <formula1>Level2agencysaving</formula1>
    </dataValidation>
    <dataValidation type="list" allowBlank="1" showInputMessage="1" showErrorMessage="1" sqref="L3:L116 I3:I116 O3:O116" xr:uid="{6E3A003A-7004-4A60-8F0C-85AF306345E1}">
      <formula1>Year</formula1>
    </dataValidation>
    <dataValidation type="list" allowBlank="1" showInputMessage="1" showErrorMessage="1" sqref="E3:E116" xr:uid="{C5CED7BB-26CF-4F39-9E48-BB59C183CE7D}">
      <formula1>Unit</formula1>
    </dataValidation>
    <dataValidation type="list" allowBlank="1" showInputMessage="1" showErrorMessage="1" sqref="A3:A116" xr:uid="{551A0E2F-E9EB-45B2-8A84-069FBECBAFD6}">
      <formula1>Outcomecategory</formula1>
    </dataValidation>
    <dataValidation type="list" allowBlank="1" showInputMessage="1" showErrorMessage="1" sqref="B3:B116" xr:uid="{F32F3960-6E00-460A-9039-1AECAB57289C}">
      <formula1>Outcomedetail</formula1>
    </dataValidation>
    <dataValidation type="list" allowBlank="1" showInputMessage="1" showErrorMessage="1" sqref="R3:R116" xr:uid="{2A19CDC8-EE71-4C02-8D6A-DD0630DA69A3}">
      <formula1>RAGassessment</formula1>
    </dataValidation>
    <dataValidation type="list" allowBlank="1" showInputMessage="1" showErrorMessage="1" sqref="T3:T116" xr:uid="{98169484-1EFC-4FD2-96DE-B3654FCB9810}">
      <formula1>Update</formula1>
    </dataValidation>
  </dataValidations>
  <hyperlinks>
    <hyperlink ref="Q30" r:id="rId1" xr:uid="{25CD4CBA-F131-47AB-A62D-A4597039D84A}"/>
    <hyperlink ref="Q40" r:id="rId2" xr:uid="{BF3AC2D3-7FE3-4530-B02C-CF956EEB3261}"/>
    <hyperlink ref="Q46" r:id="rId3" xr:uid="{FA0270C5-920D-44E4-868B-B53982E05622}"/>
    <hyperlink ref="Q49" r:id="rId4" xr:uid="{1F77B1A4-9328-44BB-B0BE-305C9F27AE7E}"/>
    <hyperlink ref="Q50" r:id="rId5" xr:uid="{50DED4DC-E34F-481B-AA85-96571EB1E438}"/>
    <hyperlink ref="Q53" r:id="rId6" xr:uid="{05444CCB-D7DC-462D-A7B3-C7089F99DB8C}"/>
    <hyperlink ref="Q54" r:id="rId7" xr:uid="{DCFDE889-5D00-4ECC-B3FF-871F9E5CEF54}"/>
    <hyperlink ref="Q55" r:id="rId8" xr:uid="{DC39243F-F4DB-4366-BA36-B5D950A836F1}"/>
    <hyperlink ref="Q56" r:id="rId9" xr:uid="{35BD8AE0-3F4B-4143-B6CD-7F03EA5E705C}"/>
    <hyperlink ref="Q59" r:id="rId10" xr:uid="{7114C0E2-84D0-4351-A91B-583B9465AF38}"/>
    <hyperlink ref="Q60" r:id="rId11" display="Energy Efficienct Windows - Energy Savings Trust" xr:uid="{A7DD1AC9-6788-46E7-B882-0B066458AA24}"/>
    <hyperlink ref="Q61" r:id="rId12" xr:uid="{871B47F6-73E0-46A2-B3EB-D25E4A58C520}"/>
    <hyperlink ref="Q62" r:id="rId13" xr:uid="{5C3B6BCE-0139-41FD-9D7B-932A304C88BE}"/>
    <hyperlink ref="Q63" r:id="rId14" xr:uid="{C7214348-14C1-4A84-87A7-CE36931A5F67}"/>
    <hyperlink ref="Q82" r:id="rId15" xr:uid="{00F02B28-21D0-4BD4-B74B-A29E94B65892}"/>
    <hyperlink ref="Q83" r:id="rId16" xr:uid="{0BE81832-D854-4E28-81C1-4E8D531C7EE4}"/>
    <hyperlink ref="Q84" r:id="rId17" xr:uid="{5888B233-20E1-44D9-9B75-C30E689601B7}"/>
    <hyperlink ref="Q85" r:id="rId18" xr:uid="{363F970B-0A66-43C1-A8DB-5BFEC7F99842}"/>
    <hyperlink ref="Q86" r:id="rId19" xr:uid="{52A0B661-A352-43C9-8DE1-943B85CAE120}"/>
    <hyperlink ref="Q88" r:id="rId20" xr:uid="{338DD27C-7D44-4948-88A7-A934AA0EC02D}"/>
    <hyperlink ref="Q89" r:id="rId21" xr:uid="{1DE1CCCE-7F0F-4B32-A263-AB7A6139B7F2}"/>
    <hyperlink ref="Q66" r:id="rId22" display="Insulating tanks, pipes and radiators, Energy Savings Trust (2017) - accessed 13th March 2018" xr:uid="{B6EA26C6-D0D3-4D1E-8DF2-60586A0E4C84}"/>
    <hyperlink ref="Q90" r:id="rId23" xr:uid="{F8B7A6A8-F597-4ED0-B18D-B37BDDFD67C9}"/>
    <hyperlink ref="Q94" r:id="rId24" display="https://assets.publishing.service.gov.uk/government/uploads/system/uploads/attachment_data/file/593455/Electricity_Networks__Storage_ENS_TINA.pdf" xr:uid="{29FA44E6-61D1-423E-8CCD-62E1A22F8605}"/>
    <hyperlink ref="Q93" r:id="rId25" display="The Value of Lost Load (VoLL) for Electricity in Great Britain, London Economics (2013), pg.xvi" xr:uid="{D4B321FB-844D-4556-8498-EE32A4F5CE42}"/>
    <hyperlink ref="Q96" r:id="rId26" display="https://assets.publishing.service.gov.uk/government/uploads/system/uploads/attachment_data/file/593455/Electricity_Networks__Storage_ENS_TINA.pdf" xr:uid="{03BC7BCA-5190-4318-A1E6-DD30BB9175FD}"/>
    <hyperlink ref="Q95" r:id="rId27" display="https://assets.publishing.service.gov.uk/government/uploads/system/uploads/attachment_data/file/593455/Electricity_Networks__Storage_ENS_TINA.pdf" xr:uid="{FFCC1FA0-B5A0-4943-9E24-7687727EF039}"/>
    <hyperlink ref="Q64" r:id="rId28" xr:uid="{9D2767F4-768A-425D-94C0-3483FA3A12D9}"/>
    <hyperlink ref="Q41" r:id="rId29" xr:uid="{459FF44E-473C-4685-A594-4A6024F8CCE9}"/>
    <hyperlink ref="Q42" r:id="rId30" xr:uid="{3A97E91E-9EC8-4CA5-9F93-2FD2E80C7496}"/>
    <hyperlink ref="Q43" r:id="rId31" xr:uid="{140B1DE7-D430-4CF9-9045-AE4DDCC516BF}"/>
    <hyperlink ref="Q44" r:id="rId32" xr:uid="{21E020E9-696C-4071-9039-A7796EFC8374}"/>
    <hyperlink ref="Q45" r:id="rId33" xr:uid="{6DF25748-5572-414B-BDA9-66E20924E84D}"/>
    <hyperlink ref="Q5" r:id="rId34" xr:uid="{17EF362D-9F4F-4552-9439-F2307C165A98}"/>
    <hyperlink ref="Q6" r:id="rId35" xr:uid="{4397FD20-8848-4226-AA1A-D8A95ECA38BD}"/>
    <hyperlink ref="Q11" r:id="rId36" display="Green Book supplementary guidance: valuation of energy use and greenhouse gas emissions for appraisal - Data Table 9" xr:uid="{24A13D95-2386-402A-8F3A-AC0E2B6FE805}"/>
    <hyperlink ref="Q12" r:id="rId37" display="Green Book supplementary guidance: valuation of energy use and greenhouse gas emissions for appraisal - Data Table 9" xr:uid="{D205D6EE-3770-4084-9D1B-1AC5A396CA61}"/>
    <hyperlink ref="Q13" r:id="rId38" display="Green Book supplementary guidance: valuation of energy use and greenhouse gas emissions for appraisal - Data Table 9" xr:uid="{1ED09138-5177-43CE-9666-F771E6DDF453}"/>
    <hyperlink ref="Q8" r:id="rId39" display="Green Book supplementary guidance: valuation of energy use and greenhouse gas emissions for appraisal - Data Table 9" xr:uid="{4222113F-D448-4B72-9EB3-2B28935850FE}"/>
    <hyperlink ref="Q9" r:id="rId40" display="Green Book supplementary guidance: valuation of energy use and greenhouse gas emissions for appraisal - Data Table 9" xr:uid="{7EFA8E54-613C-44CF-91BC-3AB21207440E}"/>
    <hyperlink ref="Q7" r:id="rId41" display="Green Book supplementary guidance: valuation of energy use and greenhouse gas emissions for appraisal - Data Table 9" xr:uid="{F39C16FB-549E-42A2-B308-F727954A5617}"/>
    <hyperlink ref="Q4" r:id="rId42" xr:uid="{FA8CCFC2-8C6C-4F71-8F1D-CAD0C630356E}"/>
    <hyperlink ref="Q14" r:id="rId43" display="Green Book supplementary guidance: valuation of energy use and greenhouse gas emissions for appraisal - Data Table 9" xr:uid="{851A2347-513D-496D-9A73-7312E926C6B7}"/>
    <hyperlink ref="Q15" r:id="rId44" display="Green Book supplementary guidance: valuation of energy use and greenhouse gas emissions for appraisal - Data Table 9" xr:uid="{F7D6D5A3-9BD4-4AA5-8CA9-A95C10EEF538}"/>
    <hyperlink ref="Q16" r:id="rId45" display="Green Book supplementary guidance: valuation of energy use and greenhouse gas emissions for appraisal - Data Table 9" xr:uid="{57A92DAF-7315-41F3-BB79-F5EC23EE23CC}"/>
    <hyperlink ref="Q19" r:id="rId46" display="Green Book supplementary guidance: valuation of energy use and greenhouse gas emissions for appraisal - Data Table 9" xr:uid="{52191A5C-1957-4B0A-8A0D-F0D92999BB27}"/>
    <hyperlink ref="Q20" r:id="rId47" display="Green Book supplementary guidance: valuation of energy use and greenhouse gas emissions for appraisal - Data Table 9" xr:uid="{68148887-120B-45F2-816A-7CF99E482152}"/>
    <hyperlink ref="Q21" r:id="rId48" display="Green Book supplementary guidance: valuation of energy use and greenhouse gas emissions for appraisal - Data Table 9" xr:uid="{DFC9C106-3498-46B9-9032-DD8A02298699}"/>
    <hyperlink ref="Q17" r:id="rId49" display="Green Book supplementary guidance: valuation of energy use and greenhouse gas emissions for appraisal - Data Table 9" xr:uid="{CD8B0282-42BC-488D-9A66-B4C45BF60AA5}"/>
    <hyperlink ref="Q22" r:id="rId50" display="Green Book supplementary guidance: valuation of energy use and greenhouse gas emissions for appraisal - Data Table 9" xr:uid="{6B30067E-F545-4A5B-BE3A-2CBBF80DEC22}"/>
    <hyperlink ref="Q23" r:id="rId51" display="Green Book supplementary guidance: valuation of energy use and greenhouse gas emissions for appraisal - Data Table 9" xr:uid="{FCFDDF92-30D3-435B-A13A-5ACB8A2B963C}"/>
    <hyperlink ref="Q26" r:id="rId52" display="Green Book supplementary guidance: valuation of energy use and greenhouse gas emissions for appraisal - Data Table 9" xr:uid="{4C706A28-DCCB-4298-BBBC-44D56F8E788E}"/>
    <hyperlink ref="Q27" r:id="rId53" display="Green Book supplementary guidance: valuation of energy use and greenhouse gas emissions for appraisal - Data Table 9" xr:uid="{1E6702B0-2768-4915-9785-445C1404C923}"/>
    <hyperlink ref="Q25" r:id="rId54" display="Green Book supplementary guidance: valuation of energy use and greenhouse gas emissions for appraisal - Data Table 9" xr:uid="{E4291AFD-BF4A-4FEF-9865-2A240B5B0C97}"/>
    <hyperlink ref="Q29" r:id="rId55" display="Green Book supplementary guidance: valuation of energy use and greenhouse gas emissions for appraisal - Data Table 9" xr:uid="{EC17BE7F-4DE0-49AE-8949-6289075182F7}"/>
    <hyperlink ref="Q10" r:id="rId56" display="Green Book supplementary guidance: valuation of energy use and greenhouse gas emissions for appraisal - Data Table 9" xr:uid="{1545AFC3-A289-49BA-A640-766B3DD3780B}"/>
    <hyperlink ref="Q18" r:id="rId57" display="Green Book supplementary guidance: valuation of energy use and greenhouse gas emissions for appraisal - Data Table 9" xr:uid="{6A7D0A2F-0592-47A5-B91A-2DB9BA49D987}"/>
    <hyperlink ref="Q24" r:id="rId58" display="Green Book supplementary guidance: valuation of energy use and greenhouse gas emissions for appraisal - Data Table 9" xr:uid="{F4CEA153-A671-4EA1-A1E8-F9C90FD7048B}"/>
    <hyperlink ref="Q28" r:id="rId59" display="Green Book supplementary guidance: valuation of energy use and greenhouse gas emissions for appraisal - Data Table 9" xr:uid="{560E32A1-37B3-4BE4-87AE-7E93D7B2D265}"/>
    <hyperlink ref="Q69" r:id="rId60" xr:uid="{CDC13FA5-5529-4814-8A1E-07F5F947E7F3}"/>
    <hyperlink ref="Q70" r:id="rId61" xr:uid="{38B3DAC5-3C7B-4082-B49B-41ADDA639CFB}"/>
    <hyperlink ref="Q71" r:id="rId62" xr:uid="{31ECBDEF-1E1A-4E4F-919C-C086E5ADCCCB}"/>
    <hyperlink ref="Q72" r:id="rId63" xr:uid="{76C2B6E0-DFB8-459F-9D15-34B18E42C66B}"/>
    <hyperlink ref="Q73" r:id="rId64" xr:uid="{40060FD6-A1F2-45C2-ADE3-5FF922ACCD23}"/>
    <hyperlink ref="Q74" r:id="rId65" xr:uid="{66146BA9-0D18-4418-BFCC-88B0F2390AB8}"/>
    <hyperlink ref="Q75" r:id="rId66" display="Greenhouse gas reporting: conversion factors 2021, BEIS - condensed set, &quot;Material use&quot;" xr:uid="{C23F9053-0DC0-4FC8-90F4-DD7568846C7E}"/>
    <hyperlink ref="Q76" r:id="rId67" display="Greenhouse gas reporting: conversion factors 2021, BEIS - condensed set, &quot;Material use&quot;" xr:uid="{DF889DB5-1A35-4D65-8442-A1A74C921E3D}"/>
    <hyperlink ref="Q77" r:id="rId68" display="Greenhouse gas reporting: conversion factors 2021, BEIS - condensed set, &quot;Material use&quot;" xr:uid="{C43AFD00-3C31-440F-82B9-62B5E305B011}"/>
    <hyperlink ref="Q78" r:id="rId69" display="Greenhouse gas reporting: conversion factors 2021, BEIS - condensed set, &quot;Material use&quot;" xr:uid="{819137CE-DB25-4680-AC02-9B3C66607945}"/>
    <hyperlink ref="Q79" r:id="rId70" display="Greenhouse gas reporting: conversion factors 2021, BEIS - condensed set, &quot;Material use&quot;" xr:uid="{A04DFA4E-2F45-4F98-B128-1E8021F58DEA}"/>
    <hyperlink ref="Q80" r:id="rId71" xr:uid="{F024DFDD-6AE8-4D11-95D8-A5BE4C41965B}"/>
    <hyperlink ref="Q3" r:id="rId72" xr:uid="{ABD90997-4E2E-40C2-944F-643009B6A572}"/>
    <hyperlink ref="Q65" r:id="rId73" xr:uid="{B6EF02D4-07EC-4EDA-8A1A-831C95E28BFC}"/>
    <hyperlink ref="Q57" r:id="rId74" xr:uid="{BB583D9F-8E15-4AE0-99CD-9A3DD469EC72}"/>
    <hyperlink ref="Q58" r:id="rId75" xr:uid="{BC23E572-B044-4660-9C01-159851E7307C}"/>
    <hyperlink ref="Q47" r:id="rId76" xr:uid="{110C7057-8D6D-4CD8-AB75-8898DA95DDBF}"/>
    <hyperlink ref="Q48" r:id="rId77" xr:uid="{1D83D835-8A73-462B-BC12-E58D7899DE87}"/>
    <hyperlink ref="Q51" r:id="rId78" xr:uid="{B574F7E1-1A7D-4376-B8C4-1D711B9A2883}"/>
    <hyperlink ref="Q52" r:id="rId79" xr:uid="{A536DB88-B9E9-43A9-82BA-0BE7A06227B4}"/>
    <hyperlink ref="Q91" r:id="rId80" xr:uid="{9AD01EA8-0E14-4834-B7BF-0C6A952A3593}"/>
    <hyperlink ref="Q92" r:id="rId81" xr:uid="{D1EBA659-0DD8-4071-B18B-719F4F511352}"/>
    <hyperlink ref="Q87" r:id="rId82" xr:uid="{E42F3A96-B9D1-4FE1-B966-78962B03E4BD}"/>
    <hyperlink ref="Q67" r:id="rId83" xr:uid="{C5F1FEB5-5629-437B-8B33-85DD59EED4DC}"/>
    <hyperlink ref="Q68" r:id="rId84" xr:uid="{5625FBAE-1A20-4F51-AE5E-81EA08D1EE52}"/>
    <hyperlink ref="Q31" r:id="rId85" xr:uid="{B040CCFC-BB1D-4A30-A2D9-5566F181F601}"/>
    <hyperlink ref="Q32" r:id="rId86" xr:uid="{CBBE53C4-2D1C-420C-8989-FC02236A8D84}"/>
    <hyperlink ref="Q33" r:id="rId87" xr:uid="{6BBD9585-EAD2-4BFA-BE1C-867379FBE9B2}"/>
    <hyperlink ref="Q34" r:id="rId88" xr:uid="{00FD224E-3A11-46CB-A2DF-C92E5B75B755}"/>
    <hyperlink ref="Q35" r:id="rId89" xr:uid="{BA246022-5AF7-4130-8CE4-58B43AA0D398}"/>
    <hyperlink ref="Q36" r:id="rId90" xr:uid="{C33B0972-2CA3-4947-8023-D20AD6956967}"/>
    <hyperlink ref="Q37" r:id="rId91" xr:uid="{9273F3DD-F33C-478A-B407-B367FD455B99}"/>
    <hyperlink ref="Q39" r:id="rId92" xr:uid="{105067DD-42E7-4A94-95CA-0342B1852E4F}"/>
    <hyperlink ref="Q97" r:id="rId93" xr:uid="{1D03120C-93DF-492B-990B-C0DEA03679C2}"/>
    <hyperlink ref="Q99" r:id="rId94" xr:uid="{144CE881-C398-4409-80EA-54DAE131C15B}"/>
    <hyperlink ref="Q38" r:id="rId95" xr:uid="{A05A50CA-D7B3-47B6-9F9F-493F9542AFD3}"/>
    <hyperlink ref="Q101" r:id="rId96" xr:uid="{21E82295-C128-47F7-8A18-F3C8F57DCF5B}"/>
    <hyperlink ref="Q103" r:id="rId97" xr:uid="{42802C94-B046-4BD4-A7DD-2B385EEBD0E3}"/>
    <hyperlink ref="Q104" r:id="rId98" xr:uid="{A787DD46-6DFB-4E4B-AF73-CD084C0FFA62}"/>
    <hyperlink ref="Q105" r:id="rId99" xr:uid="{4087070D-974A-4476-A885-0702D4322C40}"/>
    <hyperlink ref="Q111" r:id="rId100" xr:uid="{44EF5441-1A20-4246-A824-B0BBA7FB663D}"/>
    <hyperlink ref="Q113" r:id="rId101" xr:uid="{3BCCB0A8-069A-4A05-9210-8F5E097AC5D0}"/>
    <hyperlink ref="Q114" r:id="rId102" xr:uid="{A212D313-0AC9-4E5E-A8AA-A486C1EEF638}"/>
    <hyperlink ref="Q115" r:id="rId103" xr:uid="{BF2A1540-D925-4A2E-8FEA-01C300B5CC1D}"/>
    <hyperlink ref="Q116" r:id="rId104" xr:uid="{88AC05DA-A5BB-4C2A-B041-F086CC61FBD9}"/>
    <hyperlink ref="Q81" r:id="rId105" xr:uid="{CCB62C4C-7CCE-4708-9E64-5ACBA286B503}"/>
    <hyperlink ref="Q98" r:id="rId106" xr:uid="{3EF09BAF-8681-4E07-9626-2F40F7310039}"/>
    <hyperlink ref="Q100" r:id="rId107" xr:uid="{B56AE6B8-8C03-4650-8290-88AD3580CF02}"/>
    <hyperlink ref="Q102" r:id="rId108" xr:uid="{C933B2EB-A983-4D00-B016-68529A08C203}"/>
    <hyperlink ref="Q106" r:id="rId109" xr:uid="{D578B915-667E-4DC3-9F64-4B4A9AFCA85C}"/>
    <hyperlink ref="Q107" r:id="rId110" xr:uid="{46802094-4133-49C9-8144-E18B2FB3DC1A}"/>
    <hyperlink ref="Q108" r:id="rId111" display="The Green Book Central Government Guidance on Appraisal and Evaluation (2022), pg.83" xr:uid="{904B84A4-34E8-4B51-82E3-A6F5D1B0E343}"/>
    <hyperlink ref="Q109" r:id="rId112" display="The Green Book Central Government Guidance on Appraisal and Evaluation (2022), pg.83" xr:uid="{C7E502B4-A155-4B4E-8507-DE61DF78454C}"/>
    <hyperlink ref="Q110" r:id="rId113" display="The Green Book Central Government Guidance on Appraisal and Evaluation (2022), pg.83" xr:uid="{99663077-1D53-4497-AEA6-FCEA73E7C0F5}"/>
    <hyperlink ref="Q112" r:id="rId114" display="The Green Book Central Government Guidance on Appraisal and Evaluation (2022), pg.83" xr:uid="{242C93D1-9D5E-4243-BEAF-4F1A76E21D55}"/>
  </hyperlinks>
  <pageMargins left="0.74803149606299213" right="0.74803149606299213" top="0.98425196850393704" bottom="0.98425196850393704" header="0.51181102362204722" footer="0.51181102362204722"/>
  <pageSetup paperSize="8" scale="44" orientation="landscape" r:id="rId115"/>
  <headerFooter alignWithMargins="0"/>
  <extLst>
    <ext xmlns:x14="http://schemas.microsoft.com/office/spreadsheetml/2009/9/main" uri="{78C0D931-6437-407d-A8EE-F0AAD7539E65}">
      <x14:conditionalFormattings>
        <x14:conditionalFormatting xmlns:xm="http://schemas.microsoft.com/office/excel/2006/main">
          <x14:cfRule type="cellIs" priority="22" operator="equal" id="{A522102A-3EB0-499E-9425-D318B41274CB}">
            <xm:f>Lookups!$V$12</xm:f>
            <x14:dxf>
              <fill>
                <patternFill>
                  <bgColor rgb="FF92D050"/>
                </patternFill>
              </fill>
            </x14:dxf>
          </x14:cfRule>
          <x14:cfRule type="cellIs" priority="23" operator="equal" id="{5C2759BC-F337-43CB-B2C7-CC99795C072F}">
            <xm:f>Lookups!$V$11</xm:f>
            <x14:dxf>
              <fill>
                <patternFill>
                  <bgColor rgb="FFFFC000"/>
                </patternFill>
              </fill>
            </x14:dxf>
          </x14:cfRule>
          <x14:cfRule type="cellIs" priority="24" operator="equal" id="{FD60F86A-1DD3-4C1A-AF75-2C2AC4BD6F9E}">
            <xm:f>Lookups!$V$10</xm:f>
            <x14:dxf>
              <fill>
                <patternFill>
                  <bgColor rgb="FFFF0000"/>
                </patternFill>
              </fill>
            </x14:dxf>
          </x14:cfRule>
          <xm:sqref>R3:R116</xm:sqref>
        </x14:conditionalFormatting>
        <x14:conditionalFormatting xmlns:xm="http://schemas.microsoft.com/office/excel/2006/main">
          <x14:cfRule type="cellIs" priority="28" operator="between" id="{2F54FD8F-2AB4-4A05-994D-B40F6B64F088}">
            <xm:f>Lookups!$T$10</xm:f>
            <xm:f>Lookups!$T$30</xm:f>
            <x14:dxf>
              <font>
                <color auto="1"/>
              </font>
              <fill>
                <patternFill>
                  <bgColor rgb="FFFF0000"/>
                </patternFill>
              </fill>
            </x14:dxf>
          </x14:cfRule>
          <x14:cfRule type="cellIs" priority="29" operator="between" id="{455077D5-9645-439B-8105-6357912510F7}">
            <xm:f>Lookups!$T$31</xm:f>
            <xm:f>Lookups!$T$35</xm:f>
            <x14:dxf>
              <fill>
                <patternFill>
                  <bgColor rgb="FFFFC000"/>
                </patternFill>
              </fill>
            </x14:dxf>
          </x14:cfRule>
          <x14:cfRule type="cellIs" priority="30" operator="between" id="{C27ED08C-8B2E-4FE2-9BED-D58ED2FBAD48}">
            <xm:f>Lookups!$T$36</xm:f>
            <xm:f>Lookups!$T$40</xm:f>
            <x14:dxf>
              <fill>
                <patternFill>
                  <bgColor rgb="FF92D050"/>
                </patternFill>
              </fill>
            </x14:dxf>
          </x14:cfRule>
          <xm:sqref>I3:I116 L3:L116 O3:O116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50"/>
  </sheetPr>
  <dimension ref="A1:U20"/>
  <sheetViews>
    <sheetView showGridLines="0" zoomScale="90" zoomScaleNormal="90" workbookViewId="0">
      <pane xSplit="4" ySplit="2" topLeftCell="E3" activePane="bottomRight" state="frozen"/>
      <selection activeCell="J3" sqref="J3"/>
      <selection pane="topRight" activeCell="J3" sqref="J3"/>
      <selection pane="bottomLeft" activeCell="J3" sqref="J3"/>
      <selection pane="bottomRight" activeCell="A3" sqref="A3"/>
    </sheetView>
  </sheetViews>
  <sheetFormatPr defaultColWidth="9" defaultRowHeight="13.2" outlineLevelRow="2" x14ac:dyDescent="0.25"/>
  <cols>
    <col min="1" max="1" width="12.69921875" style="75" customWidth="1"/>
    <col min="2" max="2" width="14.19921875" style="75" customWidth="1"/>
    <col min="3" max="3" width="8.5" style="75" customWidth="1"/>
    <col min="4" max="4" width="43.19921875" style="75" customWidth="1"/>
    <col min="5" max="5" width="15" style="75" customWidth="1"/>
    <col min="6" max="6" width="16" style="75" customWidth="1"/>
    <col min="7" max="7" width="15.69921875" style="75" customWidth="1"/>
    <col min="8" max="8" width="12.5" style="75" bestFit="1" customWidth="1"/>
    <col min="9" max="9" width="10" style="75" customWidth="1"/>
    <col min="10" max="11" width="12.5" style="75" bestFit="1" customWidth="1"/>
    <col min="12" max="12" width="10" style="75" customWidth="1"/>
    <col min="13" max="14" width="12.5" style="75" bestFit="1" customWidth="1"/>
    <col min="15" max="15" width="10" style="75" customWidth="1"/>
    <col min="16" max="16" width="12.5" style="75" bestFit="1" customWidth="1"/>
    <col min="17" max="17" width="46.19921875" style="75" customWidth="1"/>
    <col min="18" max="18" width="12.5" style="68" customWidth="1"/>
    <col min="19" max="19" width="78.19921875" style="75" customWidth="1"/>
    <col min="20" max="20" width="10.19921875" style="183" customWidth="1"/>
    <col min="21" max="21" width="20.69921875" style="75" customWidth="1"/>
    <col min="22" max="16384" width="9" style="75"/>
  </cols>
  <sheetData>
    <row r="1" spans="1:21" s="47" customFormat="1" ht="31.5"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row>
    <row r="2" spans="1:21" s="47" customFormat="1" ht="30" customHeight="1" collapsed="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row>
    <row r="3" spans="1:21" s="36" customFormat="1" ht="60" customHeight="1" x14ac:dyDescent="0.25">
      <c r="A3" s="38" t="s">
        <v>226</v>
      </c>
      <c r="B3" s="38" t="s">
        <v>228</v>
      </c>
      <c r="C3" s="38" t="s">
        <v>769</v>
      </c>
      <c r="D3" s="38" t="s">
        <v>475</v>
      </c>
      <c r="E3" s="12" t="s">
        <v>170</v>
      </c>
      <c r="F3" s="12" t="s">
        <v>243</v>
      </c>
      <c r="G3" s="12" t="s">
        <v>243</v>
      </c>
      <c r="H3" s="14">
        <v>3079</v>
      </c>
      <c r="I3" s="15" t="s">
        <v>194</v>
      </c>
      <c r="J3" s="17">
        <f>IF(H3&gt;0,(H3*VLOOKUP(Lookups!$K$11,Lookups!$M$10:$P$43,4,0)/VLOOKUP(I3,Lookups!$M$10:$P$43,4,0)),"")</f>
        <v>4054.4834694354981</v>
      </c>
      <c r="K3" s="14">
        <v>2713</v>
      </c>
      <c r="L3" s="15" t="s">
        <v>194</v>
      </c>
      <c r="M3" s="17">
        <f>IF(K3&gt;0,(K3*VLOOKUP(Lookups!$K$11,Lookups!$M$10:$P$43,4,0)/VLOOKUP(L3,Lookups!$M$10:$P$43,4,0)),"")</f>
        <v>3572.527980701042</v>
      </c>
      <c r="N3" s="14"/>
      <c r="O3" s="15"/>
      <c r="P3" s="17" t="str">
        <f>IF(N3&gt;0,(N3*VLOOKUP(Lookups!$K$11,Lookups!$M$10:$P$43,4,0)/VLOOKUP(O3,Lookups!$M$10:$P$43,4,0)),"")</f>
        <v/>
      </c>
      <c r="Q3" s="81" t="s">
        <v>476</v>
      </c>
      <c r="R3" s="88" t="s">
        <v>149</v>
      </c>
      <c r="S3" s="12" t="s">
        <v>989</v>
      </c>
      <c r="T3" s="134"/>
      <c r="U3" s="12"/>
    </row>
    <row r="4" spans="1:21" s="78" customFormat="1" ht="60" hidden="1" customHeight="1" outlineLevel="2" x14ac:dyDescent="0.25">
      <c r="A4" s="34" t="s">
        <v>226</v>
      </c>
      <c r="B4" s="34" t="s">
        <v>228</v>
      </c>
      <c r="C4" s="34" t="s">
        <v>770</v>
      </c>
      <c r="D4" s="41" t="s">
        <v>477</v>
      </c>
      <c r="E4" s="34" t="s">
        <v>170</v>
      </c>
      <c r="F4" s="34" t="s">
        <v>243</v>
      </c>
      <c r="G4" s="34" t="s">
        <v>243</v>
      </c>
      <c r="H4" s="77">
        <v>972</v>
      </c>
      <c r="I4" s="15" t="s">
        <v>194</v>
      </c>
      <c r="J4" s="17">
        <f>IF(H4&gt;0,(H4*VLOOKUP(Lookups!$K$11,Lookups!$M$10:$P$43,4,0)/VLOOKUP(I4,Lookups!$M$10:$P$43,4,0)),"")</f>
        <v>1279.947363524295</v>
      </c>
      <c r="K4" s="77"/>
      <c r="L4" s="15"/>
      <c r="M4" s="17" t="str">
        <f>IF(K4&gt;0,(K4*VLOOKUP(Lookups!$K$11,Lookups!$M$10:$P$43,4,0)/VLOOKUP(L4,Lookups!$M$10:$P$43,4,0)),"")</f>
        <v/>
      </c>
      <c r="N4" s="77"/>
      <c r="O4" s="15"/>
      <c r="P4" s="17" t="str">
        <f>IF(N4&gt;0,(N4*VLOOKUP(Lookups!$K$11,Lookups!$M$10:$P$43,4,0)/VLOOKUP(O4,Lookups!$M$10:$P$43,4,0)),"")</f>
        <v/>
      </c>
      <c r="Q4" s="81" t="s">
        <v>476</v>
      </c>
      <c r="R4" s="15" t="s">
        <v>149</v>
      </c>
      <c r="S4" s="34" t="s">
        <v>527</v>
      </c>
      <c r="T4" s="180"/>
      <c r="U4" s="34"/>
    </row>
    <row r="5" spans="1:21" s="78" customFormat="1" ht="60" hidden="1" customHeight="1" outlineLevel="2" x14ac:dyDescent="0.25">
      <c r="A5" s="34" t="s">
        <v>226</v>
      </c>
      <c r="B5" s="34" t="s">
        <v>228</v>
      </c>
      <c r="C5" s="34" t="s">
        <v>771</v>
      </c>
      <c r="D5" s="41" t="s">
        <v>528</v>
      </c>
      <c r="E5" s="34" t="s">
        <v>170</v>
      </c>
      <c r="F5" s="34" t="s">
        <v>243</v>
      </c>
      <c r="G5" s="34" t="s">
        <v>243</v>
      </c>
      <c r="H5" s="77">
        <v>1499</v>
      </c>
      <c r="I5" s="15" t="s">
        <v>194</v>
      </c>
      <c r="J5" s="17">
        <f>IF(H5&gt;0,(H5*VLOOKUP(Lookups!$K$11,Lookups!$M$10:$P$43,4,0)/VLOOKUP(I5,Lookups!$M$10:$P$43,4,0)),"")</f>
        <v>1973.9105945709036</v>
      </c>
      <c r="K5" s="77"/>
      <c r="L5" s="15"/>
      <c r="M5" s="17" t="str">
        <f>IF(K5&gt;0,(K5*VLOOKUP(Lookups!$K$11,Lookups!$M$10:$P$43,4,0)/VLOOKUP(L5,Lookups!$M$10:$P$43,4,0)),"")</f>
        <v/>
      </c>
      <c r="N5" s="77"/>
      <c r="O5" s="15"/>
      <c r="P5" s="17" t="str">
        <f>IF(N5&gt;0,(N5*VLOOKUP(Lookups!$K$11,Lookups!$M$10:$P$43,4,0)/VLOOKUP(O5,Lookups!$M$10:$P$43,4,0)),"")</f>
        <v/>
      </c>
      <c r="Q5" s="81" t="s">
        <v>476</v>
      </c>
      <c r="R5" s="15" t="s">
        <v>149</v>
      </c>
      <c r="S5" s="34" t="s">
        <v>529</v>
      </c>
      <c r="T5" s="180"/>
      <c r="U5" s="34"/>
    </row>
    <row r="6" spans="1:21" s="78" customFormat="1" ht="60" hidden="1" customHeight="1" outlineLevel="2" x14ac:dyDescent="0.25">
      <c r="A6" s="34" t="s">
        <v>226</v>
      </c>
      <c r="B6" s="34" t="s">
        <v>228</v>
      </c>
      <c r="C6" s="34" t="s">
        <v>772</v>
      </c>
      <c r="D6" s="41" t="s">
        <v>530</v>
      </c>
      <c r="E6" s="34" t="s">
        <v>170</v>
      </c>
      <c r="F6" s="34" t="s">
        <v>147</v>
      </c>
      <c r="G6" s="34"/>
      <c r="H6" s="77">
        <v>210</v>
      </c>
      <c r="I6" s="15" t="s">
        <v>194</v>
      </c>
      <c r="J6" s="17">
        <f>IF(H6&gt;0,(H6*VLOOKUP(Lookups!$K$11,Lookups!$M$10:$P$43,4,0)/VLOOKUP(I6,Lookups!$M$10:$P$43,4,0)),"")</f>
        <v>276.53183779845881</v>
      </c>
      <c r="K6" s="77"/>
      <c r="L6" s="15"/>
      <c r="M6" s="17" t="str">
        <f>IF(K6&gt;0,(K6*VLOOKUP(Lookups!$K$11,Lookups!$M$10:$P$43,4,0)/VLOOKUP(L6,Lookups!$M$10:$P$43,4,0)),"")</f>
        <v/>
      </c>
      <c r="N6" s="77"/>
      <c r="O6" s="15"/>
      <c r="P6" s="17" t="str">
        <f>IF(N6&gt;0,(N6*VLOOKUP(Lookups!$K$11,Lookups!$M$10:$P$43,4,0)/VLOOKUP(O6,Lookups!$M$10:$P$43,4,0)),"")</f>
        <v/>
      </c>
      <c r="Q6" s="81" t="s">
        <v>476</v>
      </c>
      <c r="R6" s="15" t="s">
        <v>149</v>
      </c>
      <c r="S6" s="34" t="s">
        <v>285</v>
      </c>
      <c r="T6" s="180"/>
      <c r="U6" s="34"/>
    </row>
    <row r="7" spans="1:21" s="78" customFormat="1" ht="60" hidden="1" customHeight="1" outlineLevel="2" x14ac:dyDescent="0.25">
      <c r="A7" s="34" t="s">
        <v>226</v>
      </c>
      <c r="B7" s="34" t="s">
        <v>228</v>
      </c>
      <c r="C7" s="34" t="s">
        <v>773</v>
      </c>
      <c r="D7" s="41" t="s">
        <v>286</v>
      </c>
      <c r="E7" s="34" t="s">
        <v>170</v>
      </c>
      <c r="F7" s="34" t="s">
        <v>632</v>
      </c>
      <c r="G7" s="34"/>
      <c r="H7" s="77">
        <v>17</v>
      </c>
      <c r="I7" s="15" t="s">
        <v>194</v>
      </c>
      <c r="J7" s="17">
        <f>IF(H7&gt;0,(H7*VLOOKUP(Lookups!$K$11,Lookups!$M$10:$P$43,4,0)/VLOOKUP(I7,Lookups!$M$10:$P$43,4,0)),"")</f>
        <v>22.385910678922855</v>
      </c>
      <c r="K7" s="77"/>
      <c r="L7" s="15"/>
      <c r="M7" s="17" t="str">
        <f>IF(K7&gt;0,(K7*VLOOKUP(Lookups!$K$11,Lookups!$M$10:$P$43,4,0)/VLOOKUP(L7,Lookups!$M$10:$P$43,4,0)),"")</f>
        <v/>
      </c>
      <c r="N7" s="77"/>
      <c r="O7" s="15"/>
      <c r="P7" s="17" t="str">
        <f>IF(N7&gt;0,(N7*VLOOKUP(Lookups!$K$11,Lookups!$M$10:$P$43,4,0)/VLOOKUP(O7,Lookups!$M$10:$P$43,4,0)),"")</f>
        <v/>
      </c>
      <c r="Q7" s="81" t="s">
        <v>476</v>
      </c>
      <c r="R7" s="15" t="s">
        <v>149</v>
      </c>
      <c r="S7" s="34" t="s">
        <v>287</v>
      </c>
      <c r="T7" s="180"/>
      <c r="U7" s="34"/>
    </row>
    <row r="8" spans="1:21" s="78" customFormat="1" ht="60" hidden="1" customHeight="1" outlineLevel="2" x14ac:dyDescent="0.25">
      <c r="A8" s="34" t="s">
        <v>226</v>
      </c>
      <c r="B8" s="34" t="s">
        <v>228</v>
      </c>
      <c r="C8" s="34" t="s">
        <v>774</v>
      </c>
      <c r="D8" s="41" t="s">
        <v>288</v>
      </c>
      <c r="E8" s="34" t="s">
        <v>170</v>
      </c>
      <c r="F8" s="34" t="s">
        <v>632</v>
      </c>
      <c r="G8" s="34"/>
      <c r="H8" s="77">
        <v>103</v>
      </c>
      <c r="I8" s="15" t="s">
        <v>194</v>
      </c>
      <c r="J8" s="17">
        <f>IF(H8&gt;0,(H8*VLOOKUP(Lookups!$K$11,Lookups!$M$10:$P$43,4,0)/VLOOKUP(I8,Lookups!$M$10:$P$43,4,0)),"")</f>
        <v>135.63228234876789</v>
      </c>
      <c r="K8" s="77"/>
      <c r="L8" s="15"/>
      <c r="M8" s="17" t="str">
        <f>IF(K8&gt;0,(K8*VLOOKUP(Lookups!$K$11,Lookups!$M$10:$P$43,4,0)/VLOOKUP(L8,Lookups!$M$10:$P$43,4,0)),"")</f>
        <v/>
      </c>
      <c r="N8" s="77"/>
      <c r="O8" s="15"/>
      <c r="P8" s="17" t="str">
        <f>IF(N8&gt;0,(N8*VLOOKUP(Lookups!$K$11,Lookups!$M$10:$P$43,4,0)/VLOOKUP(O8,Lookups!$M$10:$P$43,4,0)),"")</f>
        <v/>
      </c>
      <c r="Q8" s="81" t="s">
        <v>476</v>
      </c>
      <c r="R8" s="15" t="s">
        <v>149</v>
      </c>
      <c r="S8" s="34" t="s">
        <v>289</v>
      </c>
      <c r="T8" s="180"/>
      <c r="U8" s="34"/>
    </row>
    <row r="9" spans="1:21" s="78" customFormat="1" ht="60" hidden="1" customHeight="1" outlineLevel="2" x14ac:dyDescent="0.25">
      <c r="A9" s="34" t="s">
        <v>226</v>
      </c>
      <c r="B9" s="34" t="s">
        <v>228</v>
      </c>
      <c r="C9" s="34" t="s">
        <v>775</v>
      </c>
      <c r="D9" s="41" t="s">
        <v>290</v>
      </c>
      <c r="E9" s="34" t="s">
        <v>170</v>
      </c>
      <c r="F9" s="34" t="s">
        <v>632</v>
      </c>
      <c r="G9" s="34"/>
      <c r="H9" s="77">
        <v>278</v>
      </c>
      <c r="I9" s="15" t="s">
        <v>194</v>
      </c>
      <c r="J9" s="17">
        <f>IF(H9&gt;0,(H9*VLOOKUP(Lookups!$K$11,Lookups!$M$10:$P$43,4,0)/VLOOKUP(I9,Lookups!$M$10:$P$43,4,0)),"")</f>
        <v>366.07548051415023</v>
      </c>
      <c r="K9" s="77"/>
      <c r="L9" s="15"/>
      <c r="M9" s="17" t="str">
        <f>IF(K9&gt;0,(K9*VLOOKUP(Lookups!$K$11,Lookups!$M$10:$P$43,4,0)/VLOOKUP(L9,Lookups!$M$10:$P$43,4,0)),"")</f>
        <v/>
      </c>
      <c r="N9" s="77"/>
      <c r="O9" s="15"/>
      <c r="P9" s="17" t="str">
        <f>IF(N9&gt;0,(N9*VLOOKUP(Lookups!$K$11,Lookups!$M$10:$P$43,4,0)/VLOOKUP(O9,Lookups!$M$10:$P$43,4,0)),"")</f>
        <v/>
      </c>
      <c r="Q9" s="81" t="s">
        <v>476</v>
      </c>
      <c r="R9" s="15" t="s">
        <v>149</v>
      </c>
      <c r="S9" s="34" t="s">
        <v>291</v>
      </c>
      <c r="T9" s="180"/>
      <c r="U9" s="34"/>
    </row>
    <row r="10" spans="1:21" s="36" customFormat="1" ht="60" customHeight="1" collapsed="1" x14ac:dyDescent="0.25">
      <c r="A10" s="38" t="s">
        <v>226</v>
      </c>
      <c r="B10" s="38" t="s">
        <v>228</v>
      </c>
      <c r="C10" s="38" t="s">
        <v>776</v>
      </c>
      <c r="D10" s="38" t="s">
        <v>292</v>
      </c>
      <c r="E10" s="12" t="s">
        <v>170</v>
      </c>
      <c r="F10" s="12" t="s">
        <v>206</v>
      </c>
      <c r="G10" s="12"/>
      <c r="H10" s="14">
        <v>3186</v>
      </c>
      <c r="I10" s="15" t="s">
        <v>194</v>
      </c>
      <c r="J10" s="17">
        <f>IF(H10&gt;0,(H10*VLOOKUP(Lookups!$K$11,Lookups!$M$10:$P$43,4,0)/VLOOKUP(I10,Lookups!$M$10:$P$43,4,0)),"")</f>
        <v>4195.3830248851891</v>
      </c>
      <c r="K10" s="14"/>
      <c r="L10" s="15"/>
      <c r="M10" s="17" t="str">
        <f>IF(K10&gt;0,(K10*VLOOKUP(Lookups!$K$11,Lookups!$M$10:$P$43,4,0)/VLOOKUP(L10,Lookups!$M$10:$P$43,4,0)),"")</f>
        <v/>
      </c>
      <c r="N10" s="14"/>
      <c r="O10" s="15"/>
      <c r="P10" s="17" t="str">
        <f>IF(N10&gt;0,(N10*VLOOKUP(Lookups!$K$11,Lookups!$M$10:$P$43,4,0)/VLOOKUP(O10,Lookups!$M$10:$P$43,4,0)),"")</f>
        <v/>
      </c>
      <c r="Q10" s="81" t="s">
        <v>476</v>
      </c>
      <c r="R10" s="15" t="s">
        <v>149</v>
      </c>
      <c r="S10" s="12" t="s">
        <v>850</v>
      </c>
      <c r="T10" s="134"/>
      <c r="U10" s="12"/>
    </row>
    <row r="11" spans="1:21" s="78" customFormat="1" ht="60" hidden="1" customHeight="1" outlineLevel="1" x14ac:dyDescent="0.25">
      <c r="A11" s="42" t="s">
        <v>226</v>
      </c>
      <c r="B11" s="42" t="s">
        <v>228</v>
      </c>
      <c r="C11" s="42" t="s">
        <v>777</v>
      </c>
      <c r="D11" s="42" t="s">
        <v>293</v>
      </c>
      <c r="E11" s="34" t="s">
        <v>170</v>
      </c>
      <c r="F11" s="34" t="s">
        <v>206</v>
      </c>
      <c r="G11" s="34"/>
      <c r="H11" s="77">
        <v>3120</v>
      </c>
      <c r="I11" s="15" t="s">
        <v>194</v>
      </c>
      <c r="J11" s="17">
        <f>IF(H11&gt;0,(H11*VLOOKUP(Lookups!$K$11,Lookups!$M$10:$P$43,4,0)/VLOOKUP(I11,Lookups!$M$10:$P$43,4,0)),"")</f>
        <v>4108.4730187199593</v>
      </c>
      <c r="K11" s="77"/>
      <c r="L11" s="15"/>
      <c r="M11" s="17" t="str">
        <f>IF(K11&gt;0,(K11*VLOOKUP(Lookups!$K$11,Lookups!$M$10:$P$43,4,0)/VLOOKUP(L11,Lookups!$M$10:$P$43,4,0)),"")</f>
        <v/>
      </c>
      <c r="N11" s="77"/>
      <c r="O11" s="15"/>
      <c r="P11" s="17" t="str">
        <f>IF(N11&gt;0,(N11*VLOOKUP(Lookups!$K$11,Lookups!$M$10:$P$43,4,0)/VLOOKUP(O11,Lookups!$M$10:$P$43,4,0)),"")</f>
        <v/>
      </c>
      <c r="Q11" s="81" t="s">
        <v>294</v>
      </c>
      <c r="R11" s="15" t="s">
        <v>149</v>
      </c>
      <c r="S11" s="34" t="s">
        <v>851</v>
      </c>
      <c r="T11" s="180"/>
      <c r="U11" s="34"/>
    </row>
    <row r="12" spans="1:21" s="78" customFormat="1" ht="60" hidden="1" customHeight="1" outlineLevel="1" x14ac:dyDescent="0.25">
      <c r="A12" s="42" t="s">
        <v>226</v>
      </c>
      <c r="B12" s="42" t="s">
        <v>228</v>
      </c>
      <c r="C12" s="42" t="s">
        <v>778</v>
      </c>
      <c r="D12" s="42" t="s">
        <v>295</v>
      </c>
      <c r="E12" s="34" t="s">
        <v>170</v>
      </c>
      <c r="F12" s="34" t="s">
        <v>147</v>
      </c>
      <c r="G12" s="34" t="s">
        <v>296</v>
      </c>
      <c r="H12" s="77">
        <v>2137</v>
      </c>
      <c r="I12" s="15" t="s">
        <v>194</v>
      </c>
      <c r="J12" s="17">
        <f>IF(H12&gt;0,(H12*VLOOKUP(Lookups!$K$11,Lookups!$M$10:$P$43,4,0)/VLOOKUP(I12,Lookups!$M$10:$P$43,4,0)),"")</f>
        <v>2814.0406541681264</v>
      </c>
      <c r="K12" s="77"/>
      <c r="L12" s="15"/>
      <c r="M12" s="17" t="str">
        <f>IF(K12&gt;0,(K12*VLOOKUP(Lookups!$K$11,Lookups!$M$10:$P$43,4,0)/VLOOKUP(L12,Lookups!$M$10:$P$43,4,0)),"")</f>
        <v/>
      </c>
      <c r="N12" s="77"/>
      <c r="O12" s="15"/>
      <c r="P12" s="17" t="str">
        <f>IF(N12&gt;0,(N12*VLOOKUP(Lookups!$K$11,Lookups!$M$10:$P$43,4,0)/VLOOKUP(O12,Lookups!$M$10:$P$43,4,0)),"")</f>
        <v/>
      </c>
      <c r="Q12" s="81" t="s">
        <v>297</v>
      </c>
      <c r="R12" s="15" t="s">
        <v>149</v>
      </c>
      <c r="S12" s="34" t="s">
        <v>298</v>
      </c>
      <c r="T12" s="180"/>
      <c r="U12" s="34"/>
    </row>
    <row r="13" spans="1:21" s="36" customFormat="1" ht="60" customHeight="1" collapsed="1" x14ac:dyDescent="0.25">
      <c r="A13" s="38" t="s">
        <v>226</v>
      </c>
      <c r="B13" s="38" t="s">
        <v>228</v>
      </c>
      <c r="C13" s="38" t="s">
        <v>779</v>
      </c>
      <c r="D13" s="38" t="s">
        <v>299</v>
      </c>
      <c r="E13" s="12" t="s">
        <v>170</v>
      </c>
      <c r="F13" s="12" t="s">
        <v>243</v>
      </c>
      <c r="G13" s="12" t="s">
        <v>243</v>
      </c>
      <c r="H13" s="14">
        <v>44523</v>
      </c>
      <c r="I13" s="15" t="s">
        <v>194</v>
      </c>
      <c r="J13" s="17">
        <f>IF(H13&gt;0,(H13*VLOOKUP(Lookups!$K$11,Lookups!$M$10:$P$43,4,0)/VLOOKUP(I13,Lookups!$M$10:$P$43,4,0)),"")</f>
        <v>58628.700068098959</v>
      </c>
      <c r="K13" s="14"/>
      <c r="L13" s="15"/>
      <c r="M13" s="17" t="str">
        <f>IF(K13&gt;0,(K13*VLOOKUP(Lookups!$K$11,Lookups!$M$10:$P$43,4,0)/VLOOKUP(L13,Lookups!$M$10:$P$43,4,0)),"")</f>
        <v/>
      </c>
      <c r="N13" s="14"/>
      <c r="O13" s="15"/>
      <c r="P13" s="17" t="str">
        <f>IF(N13&gt;0,(N13*VLOOKUP(Lookups!$K$11,Lookups!$M$10:$P$43,4,0)/VLOOKUP(O13,Lookups!$M$10:$P$43,4,0)),"")</f>
        <v/>
      </c>
      <c r="Q13" s="81" t="s">
        <v>300</v>
      </c>
      <c r="R13" s="15" t="s">
        <v>149</v>
      </c>
      <c r="S13" s="12" t="s">
        <v>301</v>
      </c>
      <c r="T13" s="134"/>
      <c r="U13" s="12"/>
    </row>
    <row r="14" spans="1:21" s="36" customFormat="1" ht="60" customHeight="1" x14ac:dyDescent="0.25">
      <c r="A14" s="38" t="s">
        <v>226</v>
      </c>
      <c r="B14" s="38" t="s">
        <v>228</v>
      </c>
      <c r="C14" s="38" t="s">
        <v>780</v>
      </c>
      <c r="D14" s="38" t="s">
        <v>302</v>
      </c>
      <c r="E14" s="12" t="s">
        <v>170</v>
      </c>
      <c r="F14" s="12" t="s">
        <v>243</v>
      </c>
      <c r="G14" s="12" t="s">
        <v>243</v>
      </c>
      <c r="H14" s="14">
        <v>75881</v>
      </c>
      <c r="I14" s="15" t="s">
        <v>194</v>
      </c>
      <c r="J14" s="17">
        <f>IF(H14&gt;0,(H14*VLOOKUP(Lookups!$K$11,Lookups!$M$10:$P$43,4,0)/VLOOKUP(I14,Lookups!$M$10:$P$43,4,0)),"")</f>
        <v>99921.48754278502</v>
      </c>
      <c r="K14" s="14"/>
      <c r="L14" s="15"/>
      <c r="M14" s="17" t="str">
        <f>IF(K14&gt;0,(K14*VLOOKUP(Lookups!$K$11,Lookups!$M$10:$P$43,4,0)/VLOOKUP(L14,Lookups!$M$10:$P$43,4,0)),"")</f>
        <v/>
      </c>
      <c r="N14" s="14"/>
      <c r="O14" s="15"/>
      <c r="P14" s="17" t="str">
        <f>IF(N14&gt;0,(N14*VLOOKUP(Lookups!$K$11,Lookups!$M$10:$P$43,4,0)/VLOOKUP(O14,Lookups!$M$10:$P$43,4,0)),"")</f>
        <v/>
      </c>
      <c r="Q14" s="81" t="s">
        <v>300</v>
      </c>
      <c r="R14" s="15" t="s">
        <v>149</v>
      </c>
      <c r="S14" s="12" t="s">
        <v>301</v>
      </c>
      <c r="T14" s="134"/>
      <c r="U14" s="12"/>
    </row>
    <row r="15" spans="1:21" s="36" customFormat="1" ht="60" customHeight="1" x14ac:dyDescent="0.25">
      <c r="A15" s="38" t="s">
        <v>226</v>
      </c>
      <c r="B15" s="38" t="s">
        <v>228</v>
      </c>
      <c r="C15" s="38" t="s">
        <v>781</v>
      </c>
      <c r="D15" s="38" t="s">
        <v>303</v>
      </c>
      <c r="E15" s="12" t="s">
        <v>170</v>
      </c>
      <c r="F15" s="12" t="s">
        <v>243</v>
      </c>
      <c r="G15" s="12" t="s">
        <v>243</v>
      </c>
      <c r="H15" s="14">
        <v>63853</v>
      </c>
      <c r="I15" s="15" t="s">
        <v>194</v>
      </c>
      <c r="J15" s="17">
        <f>IF(H15&gt;0,(H15*VLOOKUP(Lookups!$K$11,Lookups!$M$10:$P$43,4,0)/VLOOKUP(I15,Lookups!$M$10:$P$43,4,0)),"")</f>
        <v>84082.797328309476</v>
      </c>
      <c r="K15" s="14"/>
      <c r="L15" s="15"/>
      <c r="M15" s="17" t="str">
        <f>IF(K15&gt;0,(K15*VLOOKUP(Lookups!$K$11,Lookups!$M$10:$P$43,4,0)/VLOOKUP(L15,Lookups!$M$10:$P$43,4,0)),"")</f>
        <v/>
      </c>
      <c r="N15" s="14"/>
      <c r="O15" s="15"/>
      <c r="P15" s="17" t="str">
        <f>IF(N15&gt;0,(N15*VLOOKUP(Lookups!$K$11,Lookups!$M$10:$P$43,4,0)/VLOOKUP(O15,Lookups!$M$10:$P$43,4,0)),"")</f>
        <v/>
      </c>
      <c r="Q15" s="81" t="s">
        <v>300</v>
      </c>
      <c r="R15" s="15" t="s">
        <v>149</v>
      </c>
      <c r="S15" s="12" t="s">
        <v>301</v>
      </c>
      <c r="T15" s="134"/>
      <c r="U15" s="12"/>
    </row>
    <row r="16" spans="1:21" s="36" customFormat="1" ht="60" customHeight="1" x14ac:dyDescent="0.25">
      <c r="A16" s="38" t="s">
        <v>226</v>
      </c>
      <c r="B16" s="38" t="s">
        <v>229</v>
      </c>
      <c r="C16" s="38" t="s">
        <v>782</v>
      </c>
      <c r="D16" s="38" t="s">
        <v>304</v>
      </c>
      <c r="E16" s="12" t="s">
        <v>170</v>
      </c>
      <c r="F16" s="12" t="s">
        <v>243</v>
      </c>
      <c r="G16" s="12" t="s">
        <v>243</v>
      </c>
      <c r="H16" s="14">
        <v>6412</v>
      </c>
      <c r="I16" s="15" t="s">
        <v>194</v>
      </c>
      <c r="J16" s="17">
        <f>IF(H16&gt;0,(H16*VLOOKUP(Lookups!$K$11,Lookups!$M$10:$P$43,4,0)/VLOOKUP(I16,Lookups!$M$10:$P$43,4,0)),"")</f>
        <v>8443.4387807796084</v>
      </c>
      <c r="K16" s="14"/>
      <c r="L16" s="15"/>
      <c r="M16" s="17" t="str">
        <f>IF(K16&gt;0,(K16*VLOOKUP(Lookups!$K$11,Lookups!$M$10:$P$43,4,0)/VLOOKUP(L16,Lookups!$M$10:$P$43,4,0)),"")</f>
        <v/>
      </c>
      <c r="N16" s="14"/>
      <c r="O16" s="15"/>
      <c r="P16" s="17" t="str">
        <f>IF(N16&gt;0,(N16*VLOOKUP(Lookups!$K$11,Lookups!$M$10:$P$43,4,0)/VLOOKUP(O16,Lookups!$M$10:$P$43,4,0)),"")</f>
        <v/>
      </c>
      <c r="Q16" s="81" t="s">
        <v>300</v>
      </c>
      <c r="R16" s="15" t="s">
        <v>149</v>
      </c>
      <c r="S16" s="12" t="s">
        <v>305</v>
      </c>
      <c r="T16" s="134"/>
      <c r="U16" s="12"/>
    </row>
    <row r="17" spans="1:21" s="36" customFormat="1" ht="60" customHeight="1" x14ac:dyDescent="0.25">
      <c r="A17" s="38" t="s">
        <v>226</v>
      </c>
      <c r="B17" s="38" t="s">
        <v>698</v>
      </c>
      <c r="C17" s="38" t="s">
        <v>783</v>
      </c>
      <c r="D17" s="38" t="s">
        <v>306</v>
      </c>
      <c r="E17" s="12" t="s">
        <v>161</v>
      </c>
      <c r="F17" s="12" t="s">
        <v>206</v>
      </c>
      <c r="G17" s="12"/>
      <c r="H17" s="14">
        <v>16.05</v>
      </c>
      <c r="I17" s="15" t="s">
        <v>194</v>
      </c>
      <c r="J17" s="17">
        <f>IF(H17&gt;0,(H17*VLOOKUP(Lookups!$K$11,Lookups!$M$10:$P$43,4,0)/VLOOKUP(I17,Lookups!$M$10:$P$43,4,0)),"")</f>
        <v>21.13493331745364</v>
      </c>
      <c r="K17" s="14"/>
      <c r="L17" s="15"/>
      <c r="M17" s="17" t="str">
        <f>IF(K17&gt;0,(K17*VLOOKUP(Lookups!$K$11,Lookups!$M$10:$P$43,4,0)/VLOOKUP(L17,Lookups!$M$10:$P$43,4,0)),"")</f>
        <v/>
      </c>
      <c r="N17" s="14"/>
      <c r="O17" s="15"/>
      <c r="P17" s="17" t="str">
        <f>IF(N17&gt;0,(N17*VLOOKUP(Lookups!$K$11,Lookups!$M$10:$P$43,4,0)/VLOOKUP(O17,Lookups!$M$10:$P$43,4,0)),"")</f>
        <v/>
      </c>
      <c r="Q17" s="81" t="s">
        <v>297</v>
      </c>
      <c r="R17" s="15" t="s">
        <v>149</v>
      </c>
      <c r="S17" s="12" t="s">
        <v>852</v>
      </c>
      <c r="T17" s="134"/>
      <c r="U17" s="12"/>
    </row>
    <row r="18" spans="1:21" x14ac:dyDescent="0.25">
      <c r="A18" s="76"/>
      <c r="B18" s="76"/>
      <c r="C18" s="76"/>
      <c r="D18" s="76"/>
      <c r="R18" s="75"/>
    </row>
    <row r="19" spans="1:21" x14ac:dyDescent="0.25">
      <c r="A19" s="76"/>
      <c r="B19" s="76"/>
      <c r="C19" s="76"/>
      <c r="D19" s="76"/>
      <c r="R19" s="75"/>
    </row>
    <row r="20" spans="1:21" x14ac:dyDescent="0.25">
      <c r="A20" s="76"/>
      <c r="B20" s="76"/>
      <c r="C20" s="76"/>
      <c r="D20" s="76"/>
      <c r="R20" s="75"/>
    </row>
  </sheetData>
  <sheetProtection sheet="1" objects="1" scenarios="1" formatColumns="0" formatRows="0"/>
  <mergeCells count="5">
    <mergeCell ref="K1:M1"/>
    <mergeCell ref="N1:P1"/>
    <mergeCell ref="T1:U1"/>
    <mergeCell ref="H1:J1"/>
    <mergeCell ref="F1:G1"/>
  </mergeCells>
  <phoneticPr fontId="6" type="noConversion"/>
  <dataValidations count="8">
    <dataValidation type="list" allowBlank="1" showInputMessage="1" showErrorMessage="1" sqref="F3:F17" xr:uid="{00000000-0002-0000-0500-000000000000}">
      <formula1>Level1agencysaving</formula1>
    </dataValidation>
    <dataValidation type="list" allowBlank="1" showInputMessage="1" showErrorMessage="1" sqref="G3:G17" xr:uid="{00000000-0002-0000-0500-000001000000}">
      <formula1>Level2agencysaving</formula1>
    </dataValidation>
    <dataValidation type="list" allowBlank="1" showInputMessage="1" showErrorMessage="1" sqref="E3:E17" xr:uid="{00000000-0002-0000-0500-000002000000}">
      <formula1>Unit</formula1>
    </dataValidation>
    <dataValidation type="list" allowBlank="1" showInputMessage="1" showErrorMessage="1" sqref="I3:I17 L3:L17 O3:O17" xr:uid="{00000000-0002-0000-0500-000003000000}">
      <formula1>Year</formula1>
    </dataValidation>
    <dataValidation type="list" allowBlank="1" showInputMessage="1" showErrorMessage="1" sqref="R3:R17" xr:uid="{00000000-0002-0000-0500-000004000000}">
      <formula1>RAGassessment</formula1>
    </dataValidation>
    <dataValidation type="list" allowBlank="1" showInputMessage="1" showErrorMessage="1" sqref="A3:A17" xr:uid="{00000000-0002-0000-0500-000006000000}">
      <formula1>Outcomecategory</formula1>
    </dataValidation>
    <dataValidation type="list" allowBlank="1" showInputMessage="1" showErrorMessage="1" sqref="B3:B17" xr:uid="{00000000-0002-0000-0500-000007000000}">
      <formula1>Outcomedetail</formula1>
    </dataValidation>
    <dataValidation type="list" allowBlank="1" showInputMessage="1" showErrorMessage="1" sqref="T3:T17" xr:uid="{00000000-0002-0000-0500-000008000000}">
      <formula1>Update</formula1>
    </dataValidation>
  </dataValidations>
  <hyperlinks>
    <hyperlink ref="Q3" r:id="rId1" xr:uid="{7C9B28F9-35BC-4319-A015-375CE3A83E5E}"/>
    <hyperlink ref="Q4" r:id="rId2" xr:uid="{3EF86C93-4DE3-4409-BCD7-B278F1902649}"/>
    <hyperlink ref="Q5:Q10" r:id="rId3" display="The economic cost of fire: estimates for 2008 - Fire Research Report 3/2011 (Department for Communities and Local Government, 2011), p.29-30" xr:uid="{0EC09B86-CD5B-4D38-8327-0C189D9A21A2}"/>
    <hyperlink ref="Q11" r:id="rId4" xr:uid="{F5EFF06D-7076-4304-B05D-B590E0CFB3CA}"/>
    <hyperlink ref="Q12" r:id="rId5" xr:uid="{3DA56869-CB6F-4208-A650-B28F14C0A34B}"/>
    <hyperlink ref="Q17" r:id="rId6" xr:uid="{7BED0BED-79E7-4D23-8E09-0DB30A896146}"/>
    <hyperlink ref="Q5" r:id="rId7" xr:uid="{3065D6DF-EDD0-4248-A800-B1FEF430C520}"/>
    <hyperlink ref="Q6" r:id="rId8" xr:uid="{45EF781B-0C71-45A3-AFBC-223723E1DD28}"/>
    <hyperlink ref="Q7" r:id="rId9" xr:uid="{84A3999D-6D5D-4FCA-841E-52F5BB0402F9}"/>
    <hyperlink ref="Q8" r:id="rId10" xr:uid="{0CAB2CBC-1A1C-4A27-A3E9-3E3A58E8FFDB}"/>
    <hyperlink ref="Q9" r:id="rId11" xr:uid="{44B0C290-0120-4834-84EB-0A1F03998B97}"/>
    <hyperlink ref="Q10" r:id="rId12" xr:uid="{876BAA13-2262-4B09-A785-D4C1A158441F}"/>
    <hyperlink ref="Q13" r:id="rId13" xr:uid="{83AD93E2-3E77-4176-BF0D-02E1533FD38C}"/>
    <hyperlink ref="Q14" r:id="rId14" xr:uid="{96740AD1-4813-4FF3-A4C0-6A5C1A49190B}"/>
    <hyperlink ref="Q15" r:id="rId15" xr:uid="{3351BF04-9234-4242-85DC-B7792E23DB82}"/>
    <hyperlink ref="Q16" r:id="rId16" xr:uid="{83266F11-3AC1-44A7-8A4B-FEF36680FA45}"/>
  </hyperlinks>
  <pageMargins left="0.70866141732283472" right="0.70866141732283472" top="0.74803149606299213" bottom="0.74803149606299213" header="0.31496062992125984" footer="0.31496062992125984"/>
  <pageSetup paperSize="8" scale="44" orientation="landscape" r:id="rId17"/>
  <extLst>
    <ext xmlns:x14="http://schemas.microsoft.com/office/spreadsheetml/2009/9/main" uri="{78C0D931-6437-407d-A8EE-F0AAD7539E65}">
      <x14:conditionalFormattings>
        <x14:conditionalFormatting xmlns:xm="http://schemas.microsoft.com/office/excel/2006/main">
          <x14:cfRule type="cellIs" priority="10" operator="between" id="{9BE63440-4C95-41B3-87C4-22CAD7CBF47A}">
            <xm:f>Lookups!$T$10</xm:f>
            <xm:f>Lookups!$T$30</xm:f>
            <x14:dxf>
              <font>
                <color auto="1"/>
              </font>
              <fill>
                <patternFill>
                  <bgColor rgb="FFFF0000"/>
                </patternFill>
              </fill>
            </x14:dxf>
          </x14:cfRule>
          <x14:cfRule type="cellIs" priority="11" operator="between" id="{E40A18AF-347D-47D5-9F1F-7C47FCEAA886}">
            <xm:f>Lookups!$T$31</xm:f>
            <xm:f>Lookups!$T$35</xm:f>
            <x14:dxf>
              <fill>
                <patternFill>
                  <bgColor rgb="FFFFC000"/>
                </patternFill>
              </fill>
            </x14:dxf>
          </x14:cfRule>
          <x14:cfRule type="cellIs" priority="12" operator="between" id="{39A0E8C3-C14A-4190-AA83-E6240FD35DDA}">
            <xm:f>Lookups!$T$36</xm:f>
            <xm:f>Lookups!$T$40</xm:f>
            <x14:dxf>
              <fill>
                <patternFill>
                  <bgColor rgb="FF92D050"/>
                </patternFill>
              </fill>
            </x14:dxf>
          </x14:cfRule>
          <xm:sqref>O3:O17</xm:sqref>
        </x14:conditionalFormatting>
        <x14:conditionalFormatting xmlns:xm="http://schemas.microsoft.com/office/excel/2006/main">
          <x14:cfRule type="cellIs" priority="7" operator="equal" id="{1F1EC216-8D0E-47EB-844E-E2CFA38DF131}">
            <xm:f>Lookups!$V$12</xm:f>
            <x14:dxf>
              <fill>
                <patternFill>
                  <bgColor rgb="FF92D050"/>
                </patternFill>
              </fill>
            </x14:dxf>
          </x14:cfRule>
          <x14:cfRule type="cellIs" priority="8" operator="equal" id="{7115EA34-3E60-4483-9036-C873B34A8683}">
            <xm:f>Lookups!$V$11</xm:f>
            <x14:dxf>
              <fill>
                <patternFill>
                  <bgColor rgb="FFFFC000"/>
                </patternFill>
              </fill>
            </x14:dxf>
          </x14:cfRule>
          <x14:cfRule type="cellIs" priority="9" operator="equal" id="{01F0900C-F09D-40C7-A678-D82DCA41F73A}">
            <xm:f>Lookups!$V$10</xm:f>
            <x14:dxf>
              <fill>
                <patternFill>
                  <bgColor rgb="FFFF0000"/>
                </patternFill>
              </fill>
            </x14:dxf>
          </x14:cfRule>
          <xm:sqref>R3:R17</xm:sqref>
        </x14:conditionalFormatting>
        <x14:conditionalFormatting xmlns:xm="http://schemas.microsoft.com/office/excel/2006/main">
          <x14:cfRule type="cellIs" priority="4" operator="between" id="{B081FB1A-93BF-4CDD-89F3-E98DAF3C41BE}">
            <xm:f>Lookups!$T$10</xm:f>
            <xm:f>Lookups!$T$30</xm:f>
            <x14:dxf>
              <font>
                <color auto="1"/>
              </font>
              <fill>
                <patternFill>
                  <bgColor rgb="FFFF0000"/>
                </patternFill>
              </fill>
            </x14:dxf>
          </x14:cfRule>
          <x14:cfRule type="cellIs" priority="5" operator="between" id="{F6E5C3B5-FCE6-4ECC-95DD-5FD24595D705}">
            <xm:f>Lookups!$T$31</xm:f>
            <xm:f>Lookups!$T$35</xm:f>
            <x14:dxf>
              <fill>
                <patternFill>
                  <bgColor rgb="FFFFC000"/>
                </patternFill>
              </fill>
            </x14:dxf>
          </x14:cfRule>
          <x14:cfRule type="cellIs" priority="6" operator="between" id="{A1CF295A-7B8B-4CB0-829F-70CFE7CA49D2}">
            <xm:f>Lookups!$T$36</xm:f>
            <xm:f>Lookups!$T$40</xm:f>
            <x14:dxf>
              <fill>
                <patternFill>
                  <bgColor rgb="FF92D050"/>
                </patternFill>
              </fill>
            </x14:dxf>
          </x14:cfRule>
          <xm:sqref>I3:I17</xm:sqref>
        </x14:conditionalFormatting>
        <x14:conditionalFormatting xmlns:xm="http://schemas.microsoft.com/office/excel/2006/main">
          <x14:cfRule type="cellIs" priority="1" operator="between" id="{21D1741A-6027-4FBA-8051-AD3521DFAEA4}">
            <xm:f>Lookups!$T$10</xm:f>
            <xm:f>Lookups!$T$30</xm:f>
            <x14:dxf>
              <font>
                <color auto="1"/>
              </font>
              <fill>
                <patternFill>
                  <bgColor rgb="FFFF0000"/>
                </patternFill>
              </fill>
            </x14:dxf>
          </x14:cfRule>
          <x14:cfRule type="cellIs" priority="2" operator="between" id="{517ED0D6-5AC7-4225-8870-71C9729A6288}">
            <xm:f>Lookups!$T$31</xm:f>
            <xm:f>Lookups!$T$35</xm:f>
            <x14:dxf>
              <fill>
                <patternFill>
                  <bgColor rgb="FFFFC000"/>
                </patternFill>
              </fill>
            </x14:dxf>
          </x14:cfRule>
          <x14:cfRule type="cellIs" priority="3" operator="between" id="{E7A78133-3B27-4FD3-A254-2B022AEBCDE9}">
            <xm:f>Lookups!$T$36</xm:f>
            <xm:f>Lookups!$T$40</xm:f>
            <x14:dxf>
              <fill>
                <patternFill>
                  <bgColor rgb="FF92D050"/>
                </patternFill>
              </fill>
            </x14:dxf>
          </x14:cfRule>
          <xm:sqref>L3:L17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50"/>
    <outlinePr summaryBelow="0" summaryRight="0"/>
  </sheetPr>
  <dimension ref="A1:V144"/>
  <sheetViews>
    <sheetView showGridLines="0" zoomScale="90" zoomScaleNormal="90" workbookViewId="0">
      <pane xSplit="4" ySplit="2" topLeftCell="E3" activePane="bottomRight" state="frozen"/>
      <selection activeCell="J3" sqref="J3"/>
      <selection pane="topRight" activeCell="J3" sqref="J3"/>
      <selection pane="bottomLeft" activeCell="J3" sqref="J3"/>
      <selection pane="bottomRight" activeCell="A3" sqref="A3"/>
    </sheetView>
  </sheetViews>
  <sheetFormatPr defaultColWidth="9" defaultRowHeight="13.2" outlineLevelRow="2" x14ac:dyDescent="0.25"/>
  <cols>
    <col min="1" max="1" width="12.69921875" style="68" customWidth="1"/>
    <col min="2" max="2" width="15.09765625" style="68" customWidth="1"/>
    <col min="3" max="3" width="8.5" style="68" customWidth="1"/>
    <col min="4" max="4" width="43.19921875" style="68" customWidth="1"/>
    <col min="5" max="5" width="15" style="68" customWidth="1"/>
    <col min="6" max="6" width="16" style="68" customWidth="1"/>
    <col min="7" max="7" width="15.69921875" style="68" customWidth="1"/>
    <col min="8" max="8" width="12.5" style="68" bestFit="1" customWidth="1"/>
    <col min="9" max="9" width="10" style="68" customWidth="1"/>
    <col min="10" max="11" width="12.5" style="68" bestFit="1" customWidth="1"/>
    <col min="12" max="12" width="10" style="68" customWidth="1"/>
    <col min="13" max="14" width="12.5" style="68" bestFit="1" customWidth="1"/>
    <col min="15" max="15" width="10" style="68" customWidth="1"/>
    <col min="16" max="16" width="12.5" style="68" bestFit="1" customWidth="1"/>
    <col min="17" max="17" width="46.19921875" style="68" customWidth="1"/>
    <col min="18" max="18" width="12.5" style="68" customWidth="1"/>
    <col min="19" max="19" width="78.19921875" style="68" customWidth="1"/>
    <col min="20" max="20" width="10.19921875" style="178" customWidth="1"/>
    <col min="21" max="21" width="20.69921875" style="68" customWidth="1"/>
    <col min="22" max="16384" width="9" style="68"/>
  </cols>
  <sheetData>
    <row r="1" spans="1:21" s="47" customFormat="1" ht="31.5"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row>
    <row r="2" spans="1:21" s="47" customFormat="1" ht="30" customHeight="1" collapsed="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row>
    <row r="3" spans="1:21" s="78" customFormat="1" ht="54" customHeight="1" collapsed="1" x14ac:dyDescent="0.25">
      <c r="A3" s="40" t="s">
        <v>179</v>
      </c>
      <c r="B3" s="40" t="s">
        <v>659</v>
      </c>
      <c r="C3" s="40" t="s">
        <v>595</v>
      </c>
      <c r="D3" s="40" t="s">
        <v>784</v>
      </c>
      <c r="E3" s="34" t="s">
        <v>170</v>
      </c>
      <c r="F3" s="34" t="s">
        <v>667</v>
      </c>
      <c r="G3" s="34" t="s">
        <v>211</v>
      </c>
      <c r="H3" s="77">
        <v>6680</v>
      </c>
      <c r="I3" s="15" t="s">
        <v>196</v>
      </c>
      <c r="J3" s="17">
        <f>IF(H3&gt;0,(H3*VLOOKUP(Lookups!$K$11,Lookups!$M$10:$P$43,4,0)/VLOOKUP(I3,Lookups!$M$10:$P$43,4,0)),"")</f>
        <v>8518.2158956594867</v>
      </c>
      <c r="K3" s="77"/>
      <c r="L3" s="15"/>
      <c r="M3" s="17" t="str">
        <f>IF(K3&gt;0,(K3*VLOOKUP(Lookups!$K$11,Lookups!$M$10:$P$43,4,0)/VLOOKUP(L3,Lookups!$M$10:$P$43,4,0)),"")</f>
        <v/>
      </c>
      <c r="N3" s="77"/>
      <c r="O3" s="15"/>
      <c r="P3" s="17" t="str">
        <f>IF(N3&gt;0,(N3*VLOOKUP(Lookups!$K$11,Lookups!$M$10:$P$43,4,0)/VLOOKUP(O3,Lookups!$M$10:$P$43,4,0)),"")</f>
        <v/>
      </c>
      <c r="Q3" s="82" t="s">
        <v>787</v>
      </c>
      <c r="R3" s="88" t="s">
        <v>149</v>
      </c>
      <c r="S3" s="34" t="s">
        <v>372</v>
      </c>
      <c r="T3" s="180"/>
      <c r="U3" s="34"/>
    </row>
    <row r="4" spans="1:21" s="78" customFormat="1" ht="60" hidden="1" customHeight="1" outlineLevel="2" collapsed="1" x14ac:dyDescent="0.25">
      <c r="A4" s="34" t="s">
        <v>179</v>
      </c>
      <c r="B4" s="34" t="s">
        <v>659</v>
      </c>
      <c r="C4" s="34" t="s">
        <v>596</v>
      </c>
      <c r="D4" s="41" t="s">
        <v>785</v>
      </c>
      <c r="E4" s="34" t="s">
        <v>170</v>
      </c>
      <c r="F4" s="34" t="s">
        <v>667</v>
      </c>
      <c r="G4" s="34" t="s">
        <v>211</v>
      </c>
      <c r="H4" s="77">
        <v>1900</v>
      </c>
      <c r="I4" s="15" t="s">
        <v>196</v>
      </c>
      <c r="J4" s="17">
        <f>IF(H4&gt;0,(H4*VLOOKUP(Lookups!$K$11,Lookups!$M$10:$P$43,4,0)/VLOOKUP(I4,Lookups!$M$10:$P$43,4,0)),"")</f>
        <v>2422.8458385857825</v>
      </c>
      <c r="K4" s="77"/>
      <c r="L4" s="15"/>
      <c r="M4" s="17" t="str">
        <f>IF(K4&gt;0,(K4*VLOOKUP(Lookups!$K$11,Lookups!$M$10:$P$43,4,0)/VLOOKUP(L4,Lookups!$M$10:$P$43,4,0)),"")</f>
        <v/>
      </c>
      <c r="N4" s="77"/>
      <c r="O4" s="15"/>
      <c r="P4" s="17" t="str">
        <f>IF(N4&gt;0,(N4*VLOOKUP(Lookups!$K$11,Lookups!$M$10:$P$43,4,0)/VLOOKUP(O4,Lookups!$M$10:$P$43,4,0)),"")</f>
        <v/>
      </c>
      <c r="Q4" s="82" t="s">
        <v>787</v>
      </c>
      <c r="R4" s="88" t="s">
        <v>149</v>
      </c>
      <c r="S4" s="34" t="s">
        <v>373</v>
      </c>
      <c r="T4" s="180"/>
      <c r="U4" s="34"/>
    </row>
    <row r="5" spans="1:21" s="78" customFormat="1" ht="60" hidden="1" customHeight="1" outlineLevel="2" collapsed="1" x14ac:dyDescent="0.25">
      <c r="A5" s="34" t="s">
        <v>179</v>
      </c>
      <c r="B5" s="34" t="s">
        <v>659</v>
      </c>
      <c r="C5" s="34" t="s">
        <v>597</v>
      </c>
      <c r="D5" s="41" t="s">
        <v>804</v>
      </c>
      <c r="E5" s="34" t="s">
        <v>170</v>
      </c>
      <c r="F5" s="34" t="s">
        <v>667</v>
      </c>
      <c r="G5" s="34" t="s">
        <v>211</v>
      </c>
      <c r="H5" s="77">
        <v>1119</v>
      </c>
      <c r="I5" s="15" t="s">
        <v>196</v>
      </c>
      <c r="J5" s="17">
        <f>IF(H5&gt;0,(H5*VLOOKUP(Lookups!$K$11,Lookups!$M$10:$P$43,4,0)/VLOOKUP(I5,Lookups!$M$10:$P$43,4,0)),"")</f>
        <v>1426.928680724995</v>
      </c>
      <c r="K5" s="77"/>
      <c r="L5" s="15"/>
      <c r="M5" s="17" t="str">
        <f>IF(K5&gt;0,(K5*VLOOKUP(Lookups!$K$11,Lookups!$M$10:$P$43,4,0)/VLOOKUP(L5,Lookups!$M$10:$P$43,4,0)),"")</f>
        <v/>
      </c>
      <c r="N5" s="77"/>
      <c r="O5" s="15"/>
      <c r="P5" s="17" t="str">
        <f>IF(N5&gt;0,(N5*VLOOKUP(Lookups!$K$11,Lookups!$M$10:$P$43,4,0)/VLOOKUP(O5,Lookups!$M$10:$P$43,4,0)),"")</f>
        <v/>
      </c>
      <c r="Q5" s="82" t="s">
        <v>787</v>
      </c>
      <c r="R5" s="88" t="s">
        <v>149</v>
      </c>
      <c r="S5" s="34" t="s">
        <v>805</v>
      </c>
      <c r="T5" s="180"/>
      <c r="U5" s="34"/>
    </row>
    <row r="6" spans="1:21" s="78" customFormat="1" ht="60" hidden="1" customHeight="1" outlineLevel="2" collapsed="1" x14ac:dyDescent="0.25">
      <c r="A6" s="34" t="s">
        <v>179</v>
      </c>
      <c r="B6" s="34" t="s">
        <v>659</v>
      </c>
      <c r="C6" s="34" t="s">
        <v>598</v>
      </c>
      <c r="D6" s="41" t="s">
        <v>811</v>
      </c>
      <c r="E6" s="34" t="s">
        <v>170</v>
      </c>
      <c r="F6" s="34" t="s">
        <v>667</v>
      </c>
      <c r="G6" s="34" t="s">
        <v>211</v>
      </c>
      <c r="H6" s="77">
        <v>2787</v>
      </c>
      <c r="I6" s="15" t="s">
        <v>196</v>
      </c>
      <c r="J6" s="17">
        <f>IF(H6&gt;0,(H6*VLOOKUP(Lookups!$K$11,Lookups!$M$10:$P$43,4,0)/VLOOKUP(I6,Lookups!$M$10:$P$43,4,0)),"")</f>
        <v>3553.9322905992503</v>
      </c>
      <c r="K6" s="77"/>
      <c r="L6" s="15"/>
      <c r="M6" s="17" t="str">
        <f>IF(K6&gt;0,(K6*VLOOKUP(Lookups!$K$11,Lookups!$M$10:$P$43,4,0)/VLOOKUP(L6,Lookups!$M$10:$P$43,4,0)),"")</f>
        <v/>
      </c>
      <c r="N6" s="77"/>
      <c r="O6" s="15"/>
      <c r="P6" s="17" t="str">
        <f>IF(N6&gt;0,(N6*VLOOKUP(Lookups!$K$11,Lookups!$M$10:$P$43,4,0)/VLOOKUP(O6,Lookups!$M$10:$P$43,4,0)),"")</f>
        <v/>
      </c>
      <c r="Q6" s="82" t="s">
        <v>787</v>
      </c>
      <c r="R6" s="88" t="s">
        <v>149</v>
      </c>
      <c r="S6" s="34" t="s">
        <v>883</v>
      </c>
      <c r="T6" s="180"/>
      <c r="U6" s="34"/>
    </row>
    <row r="7" spans="1:21" s="78" customFormat="1" ht="60" hidden="1" customHeight="1" outlineLevel="2" collapsed="1" x14ac:dyDescent="0.25">
      <c r="A7" s="34" t="s">
        <v>179</v>
      </c>
      <c r="B7" s="34" t="s">
        <v>659</v>
      </c>
      <c r="C7" s="34" t="s">
        <v>599</v>
      </c>
      <c r="D7" s="41" t="s">
        <v>807</v>
      </c>
      <c r="E7" s="34" t="s">
        <v>153</v>
      </c>
      <c r="F7" s="34" t="s">
        <v>796</v>
      </c>
      <c r="G7" s="34" t="s">
        <v>198</v>
      </c>
      <c r="H7" s="77">
        <v>174</v>
      </c>
      <c r="I7" s="15" t="s">
        <v>196</v>
      </c>
      <c r="J7" s="17">
        <f>IF(H7&gt;0,(H7*VLOOKUP(Lookups!$K$11,Lookups!$M$10:$P$43,4,0)/VLOOKUP(I7,Lookups!$M$10:$P$43,4,0)),"")</f>
        <v>221.88167153364535</v>
      </c>
      <c r="K7" s="77"/>
      <c r="L7" s="15"/>
      <c r="M7" s="17" t="str">
        <f>IF(K7&gt;0,(K7*VLOOKUP(Lookups!$K$11,Lookups!$M$10:$P$43,4,0)/VLOOKUP(L7,Lookups!$M$10:$P$43,4,0)),"")</f>
        <v/>
      </c>
      <c r="N7" s="77"/>
      <c r="O7" s="15"/>
      <c r="P7" s="17" t="str">
        <f>IF(N7&gt;0,(N7*VLOOKUP(Lookups!$K$11,Lookups!$M$10:$P$43,4,0)/VLOOKUP(O7,Lookups!$M$10:$P$43,4,0)),"")</f>
        <v/>
      </c>
      <c r="Q7" s="82" t="s">
        <v>787</v>
      </c>
      <c r="R7" s="88" t="s">
        <v>149</v>
      </c>
      <c r="S7" s="34" t="s">
        <v>930</v>
      </c>
      <c r="T7" s="180"/>
      <c r="U7" s="34"/>
    </row>
    <row r="8" spans="1:21" s="78" customFormat="1" ht="60" hidden="1" customHeight="1" outlineLevel="2" collapsed="1" x14ac:dyDescent="0.25">
      <c r="A8" s="34" t="s">
        <v>179</v>
      </c>
      <c r="B8" s="34" t="s">
        <v>659</v>
      </c>
      <c r="C8" s="34" t="s">
        <v>600</v>
      </c>
      <c r="D8" s="41" t="s">
        <v>933</v>
      </c>
      <c r="E8" s="34" t="s">
        <v>792</v>
      </c>
      <c r="F8" s="34" t="s">
        <v>667</v>
      </c>
      <c r="G8" s="34"/>
      <c r="H8" s="77">
        <v>375</v>
      </c>
      <c r="I8" s="15" t="s">
        <v>196</v>
      </c>
      <c r="J8" s="17">
        <f>IF(H8&gt;0,(H8*VLOOKUP(Lookups!$K$11,Lookups!$M$10:$P$43,4,0)/VLOOKUP(I8,Lookups!$M$10:$P$43,4,0)),"")</f>
        <v>478.19325761561498</v>
      </c>
      <c r="K8" s="77"/>
      <c r="L8" s="15"/>
      <c r="M8" s="17" t="str">
        <f>IF(K8&gt;0,(K8*VLOOKUP(Lookups!$K$11,Lookups!$M$10:$P$43,4,0)/VLOOKUP(L8,Lookups!$M$10:$P$43,4,0)),"")</f>
        <v/>
      </c>
      <c r="N8" s="77"/>
      <c r="O8" s="15"/>
      <c r="P8" s="17" t="str">
        <f>IF(N8&gt;0,(N8*VLOOKUP(Lookups!$K$11,Lookups!$M$10:$P$43,4,0)/VLOOKUP(O8,Lookups!$M$10:$P$43,4,0)),"")</f>
        <v/>
      </c>
      <c r="Q8" s="82" t="s">
        <v>787</v>
      </c>
      <c r="R8" s="88" t="s">
        <v>149</v>
      </c>
      <c r="S8" s="34" t="s">
        <v>798</v>
      </c>
      <c r="T8" s="180"/>
      <c r="U8" s="34"/>
    </row>
    <row r="9" spans="1:21" s="78" customFormat="1" ht="60" hidden="1" customHeight="1" outlineLevel="2" collapsed="1" x14ac:dyDescent="0.25">
      <c r="A9" s="34" t="s">
        <v>179</v>
      </c>
      <c r="B9" s="34" t="s">
        <v>659</v>
      </c>
      <c r="C9" s="34" t="s">
        <v>601</v>
      </c>
      <c r="D9" s="41" t="s">
        <v>786</v>
      </c>
      <c r="E9" s="34" t="s">
        <v>164</v>
      </c>
      <c r="F9" s="34" t="s">
        <v>667</v>
      </c>
      <c r="G9" s="34" t="s">
        <v>214</v>
      </c>
      <c r="H9" s="77">
        <v>162.44</v>
      </c>
      <c r="I9" s="15" t="s">
        <v>196</v>
      </c>
      <c r="J9" s="17">
        <f>IF(H9&gt;0,(H9*VLOOKUP(Lookups!$K$11,Lookups!$M$10:$P$43,4,0)/VLOOKUP(I9,Lookups!$M$10:$P$43,4,0)),"")</f>
        <v>207.14056737888131</v>
      </c>
      <c r="K9" s="77"/>
      <c r="L9" s="15"/>
      <c r="M9" s="17" t="str">
        <f>IF(K9&gt;0,(K9*VLOOKUP(Lookups!$K$11,Lookups!$M$10:$P$43,4,0)/VLOOKUP(L9,Lookups!$M$10:$P$43,4,0)),"")</f>
        <v/>
      </c>
      <c r="N9" s="77"/>
      <c r="O9" s="15"/>
      <c r="P9" s="17" t="str">
        <f>IF(N9&gt;0,(N9*VLOOKUP(Lookups!$K$11,Lookups!$M$10:$P$43,4,0)/VLOOKUP(O9,Lookups!$M$10:$P$43,4,0)),"")</f>
        <v/>
      </c>
      <c r="Q9" s="82" t="s">
        <v>787</v>
      </c>
      <c r="R9" s="88" t="s">
        <v>149</v>
      </c>
      <c r="S9" s="34" t="s">
        <v>937</v>
      </c>
      <c r="T9" s="180"/>
      <c r="U9" s="34"/>
    </row>
    <row r="10" spans="1:21" s="78" customFormat="1" ht="60" customHeight="1" collapsed="1" x14ac:dyDescent="0.25">
      <c r="A10" s="40" t="s">
        <v>179</v>
      </c>
      <c r="B10" s="40" t="s">
        <v>659</v>
      </c>
      <c r="C10" s="40" t="s">
        <v>602</v>
      </c>
      <c r="D10" s="40" t="s">
        <v>788</v>
      </c>
      <c r="E10" s="34" t="s">
        <v>170</v>
      </c>
      <c r="F10" s="34" t="s">
        <v>667</v>
      </c>
      <c r="G10" s="34" t="s">
        <v>211</v>
      </c>
      <c r="H10" s="77">
        <v>690</v>
      </c>
      <c r="I10" s="15" t="s">
        <v>196</v>
      </c>
      <c r="J10" s="17">
        <f>IF(H10&gt;0,(H10*VLOOKUP(Lookups!$K$11,Lookups!$M$10:$P$43,4,0)/VLOOKUP(I10,Lookups!$M$10:$P$43,4,0)),"")</f>
        <v>879.87559401273154</v>
      </c>
      <c r="K10" s="77"/>
      <c r="L10" s="15"/>
      <c r="M10" s="17" t="str">
        <f>IF(K10&gt;0,(K10*VLOOKUP(Lookups!$K$11,Lookups!$M$10:$P$43,4,0)/VLOOKUP(L10,Lookups!$M$10:$P$43,4,0)),"")</f>
        <v/>
      </c>
      <c r="N10" s="77"/>
      <c r="O10" s="15"/>
      <c r="P10" s="17" t="str">
        <f>IF(N10&gt;0,(N10*VLOOKUP(Lookups!$K$11,Lookups!$M$10:$P$43,4,0)/VLOOKUP(O10,Lookups!$M$10:$P$43,4,0)),"")</f>
        <v/>
      </c>
      <c r="Q10" s="82" t="s">
        <v>789</v>
      </c>
      <c r="R10" s="88" t="s">
        <v>149</v>
      </c>
      <c r="S10" s="34" t="s">
        <v>849</v>
      </c>
      <c r="T10" s="180"/>
      <c r="U10" s="34"/>
    </row>
    <row r="11" spans="1:21" s="78" customFormat="1" ht="60" hidden="1" customHeight="1" outlineLevel="2" collapsed="1" x14ac:dyDescent="0.25">
      <c r="A11" s="34" t="s">
        <v>179</v>
      </c>
      <c r="B11" s="34" t="s">
        <v>659</v>
      </c>
      <c r="C11" s="34" t="s">
        <v>603</v>
      </c>
      <c r="D11" s="41" t="s">
        <v>790</v>
      </c>
      <c r="E11" s="34" t="s">
        <v>806</v>
      </c>
      <c r="F11" s="34" t="s">
        <v>667</v>
      </c>
      <c r="G11" s="34" t="s">
        <v>211</v>
      </c>
      <c r="H11" s="77">
        <v>642</v>
      </c>
      <c r="I11" s="15" t="s">
        <v>196</v>
      </c>
      <c r="J11" s="17">
        <f>IF(H11&gt;0,(H11*VLOOKUP(Lookups!$K$11,Lookups!$M$10:$P$43,4,0)/VLOOKUP(I11,Lookups!$M$10:$P$43,4,0)),"")</f>
        <v>818.6668570379328</v>
      </c>
      <c r="K11" s="77"/>
      <c r="L11" s="15"/>
      <c r="M11" s="17" t="str">
        <f>IF(K11&gt;0,(K11*VLOOKUP(Lookups!$K$11,Lookups!$M$10:$P$43,4,0)/VLOOKUP(L11,Lookups!$M$10:$P$43,4,0)),"")</f>
        <v/>
      </c>
      <c r="N11" s="77"/>
      <c r="O11" s="15"/>
      <c r="P11" s="17" t="str">
        <f>IF(N11&gt;0,(N11*VLOOKUP(Lookups!$K$11,Lookups!$M$10:$P$43,4,0)/VLOOKUP(O11,Lookups!$M$10:$P$43,4,0)),"")</f>
        <v/>
      </c>
      <c r="Q11" s="82" t="s">
        <v>789</v>
      </c>
      <c r="R11" s="88" t="s">
        <v>149</v>
      </c>
      <c r="S11" s="34" t="s">
        <v>797</v>
      </c>
      <c r="T11" s="180"/>
      <c r="U11" s="34"/>
    </row>
    <row r="12" spans="1:21" s="78" customFormat="1" ht="60" hidden="1" customHeight="1" outlineLevel="2" collapsed="1" x14ac:dyDescent="0.25">
      <c r="A12" s="34" t="s">
        <v>179</v>
      </c>
      <c r="B12" s="34" t="s">
        <v>659</v>
      </c>
      <c r="C12" s="34" t="s">
        <v>604</v>
      </c>
      <c r="D12" s="41" t="s">
        <v>791</v>
      </c>
      <c r="E12" s="34" t="s">
        <v>792</v>
      </c>
      <c r="F12" s="34" t="s">
        <v>214</v>
      </c>
      <c r="G12" s="34" t="s">
        <v>198</v>
      </c>
      <c r="H12" s="77">
        <v>48</v>
      </c>
      <c r="I12" s="15" t="s">
        <v>196</v>
      </c>
      <c r="J12" s="17">
        <f>IF(H12&gt;0,(H12*VLOOKUP(Lookups!$K$11,Lookups!$M$10:$P$43,4,0)/VLOOKUP(I12,Lookups!$M$10:$P$43,4,0)),"")</f>
        <v>61.208736974798718</v>
      </c>
      <c r="K12" s="77"/>
      <c r="L12" s="15"/>
      <c r="M12" s="17" t="str">
        <f>IF(K12&gt;0,(K12*VLOOKUP(Lookups!$K$11,Lookups!$M$10:$P$43,4,0)/VLOOKUP(L12,Lookups!$M$10:$P$43,4,0)),"")</f>
        <v/>
      </c>
      <c r="N12" s="77"/>
      <c r="O12" s="15"/>
      <c r="P12" s="17" t="str">
        <f>IF(N12&gt;0,(N12*VLOOKUP(Lookups!$K$11,Lookups!$M$10:$P$43,4,0)/VLOOKUP(O12,Lookups!$M$10:$P$43,4,0)),"")</f>
        <v/>
      </c>
      <c r="Q12" s="82" t="s">
        <v>789</v>
      </c>
      <c r="R12" s="88" t="s">
        <v>149</v>
      </c>
      <c r="S12" s="34" t="s">
        <v>929</v>
      </c>
      <c r="T12" s="180"/>
      <c r="U12" s="34"/>
    </row>
    <row r="13" spans="1:21" s="78" customFormat="1" ht="60" customHeight="1" collapsed="1" x14ac:dyDescent="0.25">
      <c r="A13" s="40" t="s">
        <v>179</v>
      </c>
      <c r="B13" s="40" t="s">
        <v>658</v>
      </c>
      <c r="C13" s="40" t="s">
        <v>605</v>
      </c>
      <c r="D13" s="40" t="s">
        <v>478</v>
      </c>
      <c r="E13" s="34" t="s">
        <v>792</v>
      </c>
      <c r="F13" s="34" t="s">
        <v>667</v>
      </c>
      <c r="G13" s="34" t="s">
        <v>211</v>
      </c>
      <c r="H13" s="77">
        <v>2501</v>
      </c>
      <c r="I13" s="15" t="s">
        <v>196</v>
      </c>
      <c r="J13" s="17">
        <f>IF(H13&gt;0,(H13*VLOOKUP(Lookups!$K$11,Lookups!$M$10:$P$43,4,0)/VLOOKUP(I13,Lookups!$M$10:$P$43,4,0)),"")</f>
        <v>3189.2302327910747</v>
      </c>
      <c r="K13" s="77"/>
      <c r="L13" s="15"/>
      <c r="M13" s="17" t="str">
        <f>IF(K13&gt;0,(K13*VLOOKUP(Lookups!$K$11,Lookups!$M$10:$P$43,4,0)/VLOOKUP(L13,Lookups!$M$10:$P$43,4,0)),"")</f>
        <v/>
      </c>
      <c r="N13" s="77"/>
      <c r="O13" s="15"/>
      <c r="P13" s="17" t="str">
        <f>IF(N13&gt;0,(N13*VLOOKUP(Lookups!$K$11,Lookups!$M$10:$P$43,4,0)/VLOOKUP(O13,Lookups!$M$10:$P$43,4,0)),"")</f>
        <v/>
      </c>
      <c r="Q13" s="82" t="s">
        <v>793</v>
      </c>
      <c r="R13" s="88" t="s">
        <v>149</v>
      </c>
      <c r="S13" s="34" t="s">
        <v>885</v>
      </c>
      <c r="T13" s="180"/>
      <c r="U13" s="34"/>
    </row>
    <row r="14" spans="1:21" s="78" customFormat="1" ht="60" hidden="1" customHeight="1" outlineLevel="2" collapsed="1" x14ac:dyDescent="0.25">
      <c r="A14" s="34" t="s">
        <v>179</v>
      </c>
      <c r="B14" s="34" t="s">
        <v>658</v>
      </c>
      <c r="C14" s="34" t="s">
        <v>606</v>
      </c>
      <c r="D14" s="41" t="s">
        <v>808</v>
      </c>
      <c r="E14" s="34" t="s">
        <v>153</v>
      </c>
      <c r="F14" s="34" t="s">
        <v>796</v>
      </c>
      <c r="G14" s="34" t="s">
        <v>198</v>
      </c>
      <c r="H14" s="77">
        <v>79.5</v>
      </c>
      <c r="I14" s="15" t="s">
        <v>196</v>
      </c>
      <c r="J14" s="17">
        <f>IF(H14&gt;0,(H14*VLOOKUP(Lookups!$K$11,Lookups!$M$10:$P$43,4,0)/VLOOKUP(I14,Lookups!$M$10:$P$43,4,0)),"")</f>
        <v>101.37697061451037</v>
      </c>
      <c r="K14" s="77"/>
      <c r="L14" s="15"/>
      <c r="M14" s="17" t="str">
        <f>IF(K14&gt;0,(K14*VLOOKUP(Lookups!$K$11,Lookups!$M$10:$P$43,4,0)/VLOOKUP(L14,Lookups!$M$10:$P$43,4,0)),"")</f>
        <v/>
      </c>
      <c r="N14" s="77"/>
      <c r="O14" s="15"/>
      <c r="P14" s="17" t="str">
        <f>IF(N14&gt;0,(N14*VLOOKUP(Lookups!$K$11,Lookups!$M$10:$P$43,4,0)/VLOOKUP(O14,Lookups!$M$10:$P$43,4,0)),"")</f>
        <v/>
      </c>
      <c r="Q14" s="82" t="s">
        <v>793</v>
      </c>
      <c r="R14" s="88" t="s">
        <v>149</v>
      </c>
      <c r="S14" s="34" t="s">
        <v>938</v>
      </c>
      <c r="T14" s="180"/>
      <c r="U14" s="34"/>
    </row>
    <row r="15" spans="1:21" s="78" customFormat="1" ht="60" hidden="1" customHeight="1" outlineLevel="2" collapsed="1" x14ac:dyDescent="0.25">
      <c r="A15" s="34" t="s">
        <v>179</v>
      </c>
      <c r="B15" s="34" t="s">
        <v>658</v>
      </c>
      <c r="C15" s="34" t="s">
        <v>607</v>
      </c>
      <c r="D15" s="41" t="s">
        <v>933</v>
      </c>
      <c r="E15" s="34" t="s">
        <v>792</v>
      </c>
      <c r="F15" s="34" t="s">
        <v>667</v>
      </c>
      <c r="G15" s="34"/>
      <c r="H15" s="77">
        <v>375</v>
      </c>
      <c r="I15" s="15" t="s">
        <v>196</v>
      </c>
      <c r="J15" s="17">
        <f>IF(H15&gt;0,(H15*VLOOKUP(Lookups!$K$11,Lookups!$M$10:$P$43,4,0)/VLOOKUP(I15,Lookups!$M$10:$P$43,4,0)),"")</f>
        <v>478.19325761561498</v>
      </c>
      <c r="K15" s="77"/>
      <c r="L15" s="15"/>
      <c r="M15" s="17" t="str">
        <f>IF(K15&gt;0,(K15*VLOOKUP(Lookups!$K$11,Lookups!$M$10:$P$43,4,0)/VLOOKUP(L15,Lookups!$M$10:$P$43,4,0)),"")</f>
        <v/>
      </c>
      <c r="N15" s="77"/>
      <c r="O15" s="15"/>
      <c r="P15" s="17" t="str">
        <f>IF(N15&gt;0,(N15*VLOOKUP(Lookups!$K$11,Lookups!$M$10:$P$43,4,0)/VLOOKUP(O15,Lookups!$M$10:$P$43,4,0)),"")</f>
        <v/>
      </c>
      <c r="Q15" s="82" t="s">
        <v>793</v>
      </c>
      <c r="R15" s="88" t="s">
        <v>149</v>
      </c>
      <c r="S15" s="34" t="s">
        <v>2501</v>
      </c>
      <c r="T15" s="180"/>
      <c r="U15" s="34"/>
    </row>
    <row r="16" spans="1:21" s="78" customFormat="1" ht="60" hidden="1" customHeight="1" outlineLevel="2" collapsed="1" x14ac:dyDescent="0.25">
      <c r="A16" s="34" t="s">
        <v>179</v>
      </c>
      <c r="B16" s="34" t="s">
        <v>658</v>
      </c>
      <c r="C16" s="34" t="s">
        <v>608</v>
      </c>
      <c r="D16" s="41" t="s">
        <v>794</v>
      </c>
      <c r="E16" s="34" t="s">
        <v>164</v>
      </c>
      <c r="F16" s="34" t="s">
        <v>667</v>
      </c>
      <c r="G16" s="34"/>
      <c r="H16" s="77">
        <v>334.95</v>
      </c>
      <c r="I16" s="15" t="s">
        <v>196</v>
      </c>
      <c r="J16" s="17">
        <f>IF(H16&gt;0,(H16*VLOOKUP(Lookups!$K$11,Lookups!$M$10:$P$43,4,0)/VLOOKUP(I16,Lookups!$M$10:$P$43,4,0)),"")</f>
        <v>427.12221770226728</v>
      </c>
      <c r="K16" s="77"/>
      <c r="L16" s="15"/>
      <c r="M16" s="17" t="str">
        <f>IF(K16&gt;0,(K16*VLOOKUP(Lookups!$K$11,Lookups!$M$10:$P$43,4,0)/VLOOKUP(L16,Lookups!$M$10:$P$43,4,0)),"")</f>
        <v/>
      </c>
      <c r="N16" s="77"/>
      <c r="O16" s="15"/>
      <c r="P16" s="17" t="str">
        <f>IF(N16&gt;0,(N16*VLOOKUP(Lookups!$K$11,Lookups!$M$10:$P$43,4,0)/VLOOKUP(O16,Lookups!$M$10:$P$43,4,0)),"")</f>
        <v/>
      </c>
      <c r="Q16" s="82" t="s">
        <v>793</v>
      </c>
      <c r="R16" s="88" t="s">
        <v>149</v>
      </c>
      <c r="S16" s="34" t="s">
        <v>936</v>
      </c>
      <c r="T16" s="180"/>
      <c r="U16" s="34"/>
    </row>
    <row r="17" spans="1:21" s="78" customFormat="1" ht="60" hidden="1" customHeight="1" outlineLevel="2" collapsed="1" x14ac:dyDescent="0.25">
      <c r="A17" s="34" t="s">
        <v>179</v>
      </c>
      <c r="B17" s="34" t="s">
        <v>658</v>
      </c>
      <c r="C17" s="34" t="s">
        <v>609</v>
      </c>
      <c r="D17" s="41" t="s">
        <v>795</v>
      </c>
      <c r="E17" s="34" t="s">
        <v>170</v>
      </c>
      <c r="F17" s="34" t="s">
        <v>667</v>
      </c>
      <c r="G17" s="34" t="s">
        <v>211</v>
      </c>
      <c r="H17" s="77">
        <v>477</v>
      </c>
      <c r="I17" s="15" t="s">
        <v>196</v>
      </c>
      <c r="J17" s="17">
        <f>IF(H17&gt;0,(H17*VLOOKUP(Lookups!$K$11,Lookups!$M$10:$P$43,4,0)/VLOOKUP(I17,Lookups!$M$10:$P$43,4,0)),"")</f>
        <v>608.26182368706225</v>
      </c>
      <c r="K17" s="77"/>
      <c r="L17" s="15"/>
      <c r="M17" s="17" t="str">
        <f>IF(K17&gt;0,(K17*VLOOKUP(Lookups!$K$11,Lookups!$M$10:$P$43,4,0)/VLOOKUP(L17,Lookups!$M$10:$P$43,4,0)),"")</f>
        <v/>
      </c>
      <c r="N17" s="77"/>
      <c r="O17" s="15"/>
      <c r="P17" s="17" t="str">
        <f>IF(N17&gt;0,(N17*VLOOKUP(Lookups!$K$11,Lookups!$M$10:$P$43,4,0)/VLOOKUP(O17,Lookups!$M$10:$P$43,4,0)),"")</f>
        <v/>
      </c>
      <c r="Q17" s="82" t="s">
        <v>793</v>
      </c>
      <c r="R17" s="88" t="s">
        <v>149</v>
      </c>
      <c r="S17" s="34" t="s">
        <v>884</v>
      </c>
      <c r="T17" s="180"/>
      <c r="U17" s="34"/>
    </row>
    <row r="18" spans="1:21" s="78" customFormat="1" ht="60" hidden="1" customHeight="1" outlineLevel="2" collapsed="1" x14ac:dyDescent="0.25">
      <c r="A18" s="34" t="s">
        <v>179</v>
      </c>
      <c r="B18" s="34" t="s">
        <v>658</v>
      </c>
      <c r="C18" s="34" t="s">
        <v>610</v>
      </c>
      <c r="D18" s="41" t="s">
        <v>823</v>
      </c>
      <c r="E18" s="34" t="s">
        <v>170</v>
      </c>
      <c r="F18" s="34" t="s">
        <v>667</v>
      </c>
      <c r="G18" s="34"/>
      <c r="H18" s="77">
        <v>230</v>
      </c>
      <c r="I18" s="15" t="s">
        <v>196</v>
      </c>
      <c r="J18" s="17">
        <f>IF(H18&gt;0,(H18*VLOOKUP(Lookups!$K$11,Lookups!$M$10:$P$43,4,0)/VLOOKUP(I18,Lookups!$M$10:$P$43,4,0)),"")</f>
        <v>293.29186467091051</v>
      </c>
      <c r="K18" s="77"/>
      <c r="L18" s="15"/>
      <c r="M18" s="17" t="str">
        <f>IF(K18&gt;0,(K18*VLOOKUP(Lookups!$K$11,Lookups!$M$10:$P$43,4,0)/VLOOKUP(L18,Lookups!$M$10:$P$43,4,0)),"")</f>
        <v/>
      </c>
      <c r="N18" s="77"/>
      <c r="O18" s="15"/>
      <c r="P18" s="17" t="str">
        <f>IF(N18&gt;0,(N18*VLOOKUP(Lookups!$K$11,Lookups!$M$10:$P$43,4,0)/VLOOKUP(O18,Lookups!$M$10:$P$43,4,0)),"")</f>
        <v/>
      </c>
      <c r="Q18" s="82" t="s">
        <v>793</v>
      </c>
      <c r="R18" s="88" t="s">
        <v>149</v>
      </c>
      <c r="S18" s="34" t="s">
        <v>886</v>
      </c>
      <c r="T18" s="180"/>
      <c r="U18" s="34"/>
    </row>
    <row r="19" spans="1:21" s="78" customFormat="1" ht="60" customHeight="1" collapsed="1" x14ac:dyDescent="0.25">
      <c r="A19" s="40" t="s">
        <v>179</v>
      </c>
      <c r="B19" s="40" t="s">
        <v>658</v>
      </c>
      <c r="C19" s="40" t="s">
        <v>611</v>
      </c>
      <c r="D19" s="40" t="s">
        <v>799</v>
      </c>
      <c r="E19" s="34" t="s">
        <v>164</v>
      </c>
      <c r="F19" s="34" t="s">
        <v>667</v>
      </c>
      <c r="G19" s="34"/>
      <c r="H19" s="77">
        <v>107.45</v>
      </c>
      <c r="I19" s="15" t="s">
        <v>196</v>
      </c>
      <c r="J19" s="17">
        <f>IF(H19&gt;0,(H19*VLOOKUP(Lookups!$K$11,Lookups!$M$10:$P$43,4,0)/VLOOKUP(I19,Lookups!$M$10:$P$43,4,0)),"")</f>
        <v>137.01830808212753</v>
      </c>
      <c r="K19" s="77"/>
      <c r="L19" s="15"/>
      <c r="M19" s="17" t="str">
        <f>IF(K19&gt;0,(K19*VLOOKUP(Lookups!$K$11,Lookups!$M$10:$P$43,4,0)/VLOOKUP(L19,Lookups!$M$10:$P$43,4,0)),"")</f>
        <v/>
      </c>
      <c r="N19" s="77"/>
      <c r="O19" s="15"/>
      <c r="P19" s="17" t="str">
        <f>IF(N19&gt;0,(N19*VLOOKUP(Lookups!$K$11,Lookups!$M$10:$P$43,4,0)/VLOOKUP(O19,Lookups!$M$10:$P$43,4,0)),"")</f>
        <v/>
      </c>
      <c r="Q19" s="82" t="s">
        <v>809</v>
      </c>
      <c r="R19" s="88" t="s">
        <v>149</v>
      </c>
      <c r="S19" s="83" t="s">
        <v>939</v>
      </c>
      <c r="T19" s="180"/>
      <c r="U19" s="34"/>
    </row>
    <row r="20" spans="1:21" s="78" customFormat="1" ht="60" hidden="1" customHeight="1" outlineLevel="1" collapsed="1" x14ac:dyDescent="0.25">
      <c r="A20" s="42" t="s">
        <v>179</v>
      </c>
      <c r="B20" s="42" t="s">
        <v>658</v>
      </c>
      <c r="C20" s="42" t="s">
        <v>612</v>
      </c>
      <c r="D20" s="42" t="s">
        <v>800</v>
      </c>
      <c r="E20" s="34" t="s">
        <v>164</v>
      </c>
      <c r="F20" s="34" t="s">
        <v>667</v>
      </c>
      <c r="G20" s="34"/>
      <c r="H20" s="77">
        <v>334.95</v>
      </c>
      <c r="I20" s="15" t="s">
        <v>196</v>
      </c>
      <c r="J20" s="17">
        <f>IF(H20&gt;0,(H20*VLOOKUP(Lookups!$K$11,Lookups!$M$10:$P$43,4,0)/VLOOKUP(I20,Lookups!$M$10:$P$43,4,0)),"")</f>
        <v>427.12221770226728</v>
      </c>
      <c r="K20" s="77"/>
      <c r="L20" s="15"/>
      <c r="M20" s="17" t="str">
        <f>IF(K20&gt;0,(K20*VLOOKUP(Lookups!$K$11,Lookups!$M$10:$P$43,4,0)/VLOOKUP(L20,Lookups!$M$10:$P$43,4,0)),"")</f>
        <v/>
      </c>
      <c r="N20" s="77"/>
      <c r="O20" s="15"/>
      <c r="P20" s="17" t="str">
        <f>IF(N20&gt;0,(N20*VLOOKUP(Lookups!$K$11,Lookups!$M$10:$P$43,4,0)/VLOOKUP(O20,Lookups!$M$10:$P$43,4,0)),"")</f>
        <v/>
      </c>
      <c r="Q20" s="82" t="s">
        <v>809</v>
      </c>
      <c r="R20" s="88" t="s">
        <v>149</v>
      </c>
      <c r="S20" s="34"/>
      <c r="T20" s="180"/>
      <c r="U20" s="34"/>
    </row>
    <row r="21" spans="1:21" s="78" customFormat="1" ht="60" hidden="1" customHeight="1" outlineLevel="1" collapsed="1" x14ac:dyDescent="0.25">
      <c r="A21" s="42" t="s">
        <v>179</v>
      </c>
      <c r="B21" s="42" t="s">
        <v>658</v>
      </c>
      <c r="C21" s="42" t="s">
        <v>613</v>
      </c>
      <c r="D21" s="42" t="s">
        <v>801</v>
      </c>
      <c r="E21" s="34" t="s">
        <v>164</v>
      </c>
      <c r="F21" s="34" t="s">
        <v>667</v>
      </c>
      <c r="G21" s="34"/>
      <c r="H21" s="77">
        <v>98</v>
      </c>
      <c r="I21" s="15" t="s">
        <v>196</v>
      </c>
      <c r="J21" s="17">
        <f>IF(H21&gt;0,(H21*VLOOKUP(Lookups!$K$11,Lookups!$M$10:$P$43,4,0)/VLOOKUP(I21,Lookups!$M$10:$P$43,4,0)),"")</f>
        <v>124.96783799021404</v>
      </c>
      <c r="K21" s="77"/>
      <c r="L21" s="15"/>
      <c r="M21" s="17" t="str">
        <f>IF(K21&gt;0,(K21*VLOOKUP(Lookups!$K$11,Lookups!$M$10:$P$43,4,0)/VLOOKUP(L21,Lookups!$M$10:$P$43,4,0)),"")</f>
        <v/>
      </c>
      <c r="N21" s="77"/>
      <c r="O21" s="15"/>
      <c r="P21" s="17" t="str">
        <f>IF(N21&gt;0,(N21*VLOOKUP(Lookups!$K$11,Lookups!$M$10:$P$43,4,0)/VLOOKUP(O21,Lookups!$M$10:$P$43,4,0)),"")</f>
        <v/>
      </c>
      <c r="Q21" s="82" t="s">
        <v>809</v>
      </c>
      <c r="R21" s="88" t="s">
        <v>149</v>
      </c>
      <c r="S21" s="34" t="s">
        <v>934</v>
      </c>
      <c r="T21" s="180"/>
      <c r="U21" s="34"/>
    </row>
    <row r="22" spans="1:21" s="78" customFormat="1" ht="60" hidden="1" customHeight="1" outlineLevel="1" collapsed="1" x14ac:dyDescent="0.25">
      <c r="A22" s="42" t="s">
        <v>179</v>
      </c>
      <c r="B22" s="42" t="s">
        <v>658</v>
      </c>
      <c r="C22" s="42" t="s">
        <v>614</v>
      </c>
      <c r="D22" s="42" t="s">
        <v>802</v>
      </c>
      <c r="E22" s="34" t="s">
        <v>164</v>
      </c>
      <c r="F22" s="34" t="s">
        <v>667</v>
      </c>
      <c r="G22" s="34"/>
      <c r="H22" s="77">
        <v>87</v>
      </c>
      <c r="I22" s="15" t="s">
        <v>196</v>
      </c>
      <c r="J22" s="17">
        <f>IF(H22&gt;0,(H22*VLOOKUP(Lookups!$K$11,Lookups!$M$10:$P$43,4,0)/VLOOKUP(I22,Lookups!$M$10:$P$43,4,0)),"")</f>
        <v>110.94083576682267</v>
      </c>
      <c r="K22" s="77"/>
      <c r="L22" s="15"/>
      <c r="M22" s="17" t="str">
        <f>IF(K22&gt;0,(K22*VLOOKUP(Lookups!$K$11,Lookups!$M$10:$P$43,4,0)/VLOOKUP(L22,Lookups!$M$10:$P$43,4,0)),"")</f>
        <v/>
      </c>
      <c r="N22" s="77"/>
      <c r="O22" s="15"/>
      <c r="P22" s="17" t="str">
        <f>IF(N22&gt;0,(N22*VLOOKUP(Lookups!$K$11,Lookups!$M$10:$P$43,4,0)/VLOOKUP(O22,Lookups!$M$10:$P$43,4,0)),"")</f>
        <v/>
      </c>
      <c r="Q22" s="82" t="s">
        <v>809</v>
      </c>
      <c r="R22" s="88" t="s">
        <v>149</v>
      </c>
      <c r="S22" s="34" t="s">
        <v>934</v>
      </c>
      <c r="T22" s="180"/>
      <c r="U22" s="34"/>
    </row>
    <row r="23" spans="1:21" s="78" customFormat="1" ht="60" hidden="1" customHeight="1" outlineLevel="1" collapsed="1" x14ac:dyDescent="0.25">
      <c r="A23" s="42" t="s">
        <v>179</v>
      </c>
      <c r="B23" s="42" t="s">
        <v>658</v>
      </c>
      <c r="C23" s="42" t="s">
        <v>615</v>
      </c>
      <c r="D23" s="42" t="s">
        <v>803</v>
      </c>
      <c r="E23" s="34" t="s">
        <v>164</v>
      </c>
      <c r="F23" s="34" t="s">
        <v>667</v>
      </c>
      <c r="G23" s="34"/>
      <c r="H23" s="77">
        <v>162.44</v>
      </c>
      <c r="I23" s="15" t="s">
        <v>196</v>
      </c>
      <c r="J23" s="17">
        <f>IF(H23&gt;0,(H23*VLOOKUP(Lookups!$K$11,Lookups!$M$10:$P$43,4,0)/VLOOKUP(I23,Lookups!$M$10:$P$43,4,0)),"")</f>
        <v>207.14056737888131</v>
      </c>
      <c r="K23" s="77"/>
      <c r="L23" s="15"/>
      <c r="M23" s="17" t="str">
        <f>IF(K23&gt;0,(K23*VLOOKUP(Lookups!$K$11,Lookups!$M$10:$P$43,4,0)/VLOOKUP(L23,Lookups!$M$10:$P$43,4,0)),"")</f>
        <v/>
      </c>
      <c r="N23" s="77"/>
      <c r="O23" s="15"/>
      <c r="P23" s="17" t="str">
        <f>IF(N23&gt;0,(N23*VLOOKUP(Lookups!$K$11,Lookups!$M$10:$P$43,4,0)/VLOOKUP(O23,Lookups!$M$10:$P$43,4,0)),"")</f>
        <v/>
      </c>
      <c r="Q23" s="82" t="s">
        <v>809</v>
      </c>
      <c r="R23" s="88" t="s">
        <v>149</v>
      </c>
      <c r="S23" s="34" t="s">
        <v>935</v>
      </c>
      <c r="T23" s="180"/>
      <c r="U23" s="34"/>
    </row>
    <row r="24" spans="1:21" s="78" customFormat="1" ht="60" customHeight="1" collapsed="1" x14ac:dyDescent="0.25">
      <c r="A24" s="40" t="s">
        <v>179</v>
      </c>
      <c r="B24" s="40" t="s">
        <v>658</v>
      </c>
      <c r="C24" s="40" t="s">
        <v>616</v>
      </c>
      <c r="D24" s="40" t="s">
        <v>932</v>
      </c>
      <c r="E24" s="34" t="s">
        <v>806</v>
      </c>
      <c r="F24" s="34" t="s">
        <v>667</v>
      </c>
      <c r="G24" s="34"/>
      <c r="H24" s="77">
        <v>642</v>
      </c>
      <c r="I24" s="15" t="s">
        <v>196</v>
      </c>
      <c r="J24" s="17">
        <f>IF(H24&gt;0,(H24*VLOOKUP(Lookups!$K$11,Lookups!$M$10:$P$43,4,0)/VLOOKUP(I24,Lookups!$M$10:$P$43,4,0)),"")</f>
        <v>818.6668570379328</v>
      </c>
      <c r="K24" s="77"/>
      <c r="L24" s="15"/>
      <c r="M24" s="17" t="str">
        <f>IF(K24&gt;0,(K24*VLOOKUP(Lookups!$K$11,Lookups!$M$10:$P$43,4,0)/VLOOKUP(L24,Lookups!$M$10:$P$43,4,0)),"")</f>
        <v/>
      </c>
      <c r="N24" s="77"/>
      <c r="O24" s="15"/>
      <c r="P24" s="17" t="str">
        <f>IF(N24&gt;0,(N24*VLOOKUP(Lookups!$K$11,Lookups!$M$10:$P$43,4,0)/VLOOKUP(O24,Lookups!$M$10:$P$43,4,0)),"")</f>
        <v/>
      </c>
      <c r="Q24" s="82" t="s">
        <v>809</v>
      </c>
      <c r="R24" s="88" t="s">
        <v>149</v>
      </c>
      <c r="S24" s="83" t="s">
        <v>940</v>
      </c>
      <c r="T24" s="180"/>
      <c r="U24" s="34"/>
    </row>
    <row r="25" spans="1:21" s="78" customFormat="1" ht="60" hidden="1" customHeight="1" outlineLevel="1" collapsed="1" x14ac:dyDescent="0.25">
      <c r="A25" s="42" t="s">
        <v>179</v>
      </c>
      <c r="B25" s="42" t="s">
        <v>658</v>
      </c>
      <c r="C25" s="42" t="s">
        <v>617</v>
      </c>
      <c r="D25" s="42" t="s">
        <v>807</v>
      </c>
      <c r="E25" s="34" t="s">
        <v>153</v>
      </c>
      <c r="F25" s="34" t="s">
        <v>796</v>
      </c>
      <c r="G25" s="34" t="s">
        <v>198</v>
      </c>
      <c r="H25" s="77">
        <v>174</v>
      </c>
      <c r="I25" s="15" t="s">
        <v>196</v>
      </c>
      <c r="J25" s="17">
        <f>IF(H25&gt;0,(H25*VLOOKUP(Lookups!$K$11,Lookups!$M$10:$P$43,4,0)/VLOOKUP(I25,Lookups!$M$10:$P$43,4,0)),"")</f>
        <v>221.88167153364535</v>
      </c>
      <c r="K25" s="77"/>
      <c r="L25" s="15"/>
      <c r="M25" s="17" t="str">
        <f>IF(K25&gt;0,(K25*VLOOKUP(Lookups!$K$11,Lookups!$M$10:$P$43,4,0)/VLOOKUP(L25,Lookups!$M$10:$P$43,4,0)),"")</f>
        <v/>
      </c>
      <c r="N25" s="77"/>
      <c r="O25" s="15"/>
      <c r="P25" s="17" t="str">
        <f>IF(N25&gt;0,(N25*VLOOKUP(Lookups!$K$11,Lookups!$M$10:$P$43,4,0)/VLOOKUP(O25,Lookups!$M$10:$P$43,4,0)),"")</f>
        <v/>
      </c>
      <c r="Q25" s="82" t="s">
        <v>809</v>
      </c>
      <c r="R25" s="88" t="s">
        <v>149</v>
      </c>
      <c r="S25" s="34"/>
      <c r="T25" s="180"/>
      <c r="U25" s="34"/>
    </row>
    <row r="26" spans="1:21" s="78" customFormat="1" ht="60" hidden="1" customHeight="1" outlineLevel="1" collapsed="1" x14ac:dyDescent="0.25">
      <c r="A26" s="42" t="s">
        <v>179</v>
      </c>
      <c r="B26" s="42" t="s">
        <v>658</v>
      </c>
      <c r="C26" s="42" t="s">
        <v>618</v>
      </c>
      <c r="D26" s="42" t="s">
        <v>808</v>
      </c>
      <c r="E26" s="34" t="s">
        <v>153</v>
      </c>
      <c r="F26" s="34" t="s">
        <v>796</v>
      </c>
      <c r="G26" s="34" t="s">
        <v>198</v>
      </c>
      <c r="H26" s="77">
        <v>79.5</v>
      </c>
      <c r="I26" s="15" t="s">
        <v>196</v>
      </c>
      <c r="J26" s="17">
        <f>IF(H26&gt;0,(H26*VLOOKUP(Lookups!$K$11,Lookups!$M$10:$P$43,4,0)/VLOOKUP(I26,Lookups!$M$10:$P$43,4,0)),"")</f>
        <v>101.37697061451037</v>
      </c>
      <c r="K26" s="77"/>
      <c r="L26" s="15"/>
      <c r="M26" s="17" t="str">
        <f>IF(K26&gt;0,(K26*VLOOKUP(Lookups!$K$11,Lookups!$M$10:$P$43,4,0)/VLOOKUP(L26,Lookups!$M$10:$P$43,4,0)),"")</f>
        <v/>
      </c>
      <c r="N26" s="77"/>
      <c r="O26" s="15"/>
      <c r="P26" s="17" t="str">
        <f>IF(N26&gt;0,(N26*VLOOKUP(Lookups!$K$11,Lookups!$M$10:$P$43,4,0)/VLOOKUP(O26,Lookups!$M$10:$P$43,4,0)),"")</f>
        <v/>
      </c>
      <c r="Q26" s="82" t="s">
        <v>809</v>
      </c>
      <c r="R26" s="88" t="s">
        <v>149</v>
      </c>
      <c r="S26" s="83" t="s">
        <v>938</v>
      </c>
      <c r="T26" s="180"/>
      <c r="U26" s="34"/>
    </row>
    <row r="27" spans="1:21" s="78" customFormat="1" ht="60" hidden="1" customHeight="1" outlineLevel="1" collapsed="1" x14ac:dyDescent="0.25">
      <c r="A27" s="42" t="s">
        <v>179</v>
      </c>
      <c r="B27" s="42" t="s">
        <v>658</v>
      </c>
      <c r="C27" s="42" t="s">
        <v>619</v>
      </c>
      <c r="D27" s="42" t="s">
        <v>810</v>
      </c>
      <c r="E27" s="34" t="s">
        <v>806</v>
      </c>
      <c r="F27" s="34" t="s">
        <v>667</v>
      </c>
      <c r="G27" s="34"/>
      <c r="H27" s="77">
        <v>294</v>
      </c>
      <c r="I27" s="15" t="s">
        <v>196</v>
      </c>
      <c r="J27" s="17">
        <f>IF(H27&gt;0,(H27*VLOOKUP(Lookups!$K$11,Lookups!$M$10:$P$43,4,0)/VLOOKUP(I27,Lookups!$M$10:$P$43,4,0)),"")</f>
        <v>374.90351397064217</v>
      </c>
      <c r="K27" s="77"/>
      <c r="L27" s="15"/>
      <c r="M27" s="17" t="str">
        <f>IF(K27&gt;0,(K27*VLOOKUP(Lookups!$K$11,Lookups!$M$10:$P$43,4,0)/VLOOKUP(L27,Lookups!$M$10:$P$43,4,0)),"")</f>
        <v/>
      </c>
      <c r="N27" s="77"/>
      <c r="O27" s="15"/>
      <c r="P27" s="17" t="str">
        <f>IF(N27&gt;0,(N27*VLOOKUP(Lookups!$K$11,Lookups!$M$10:$P$43,4,0)/VLOOKUP(O27,Lookups!$M$10:$P$43,4,0)),"")</f>
        <v/>
      </c>
      <c r="Q27" s="82" t="s">
        <v>809</v>
      </c>
      <c r="R27" s="88" t="s">
        <v>149</v>
      </c>
      <c r="S27" s="34" t="s">
        <v>931</v>
      </c>
      <c r="T27" s="180"/>
      <c r="U27" s="34"/>
    </row>
    <row r="28" spans="1:21" s="78" customFormat="1" ht="60" customHeight="1" collapsed="1" x14ac:dyDescent="0.25">
      <c r="A28" s="38" t="s">
        <v>179</v>
      </c>
      <c r="B28" s="38" t="s">
        <v>658</v>
      </c>
      <c r="C28" s="38" t="s">
        <v>620</v>
      </c>
      <c r="D28" s="40" t="s">
        <v>943</v>
      </c>
      <c r="E28" s="34" t="s">
        <v>167</v>
      </c>
      <c r="F28" s="34" t="s">
        <v>667</v>
      </c>
      <c r="G28" s="34"/>
      <c r="H28" s="77">
        <v>7900</v>
      </c>
      <c r="I28" s="15" t="s">
        <v>196</v>
      </c>
      <c r="J28" s="17">
        <f>IF(H28&gt;0,(H28*VLOOKUP(Lookups!$K$11,Lookups!$M$10:$P$43,4,0)/VLOOKUP(I28,Lookups!$M$10:$P$43,4,0)),"")</f>
        <v>10073.937960435622</v>
      </c>
      <c r="K28" s="126"/>
      <c r="L28" s="15"/>
      <c r="M28" s="17" t="str">
        <f>IF(K28&gt;0,(K28*VLOOKUP(Lookups!$K$11,Lookups!$M$10:$P$43,4,0)/VLOOKUP(L28,Lookups!$M$10:$P$43,4,0)),"")</f>
        <v/>
      </c>
      <c r="N28" s="77"/>
      <c r="O28" s="15"/>
      <c r="P28" s="17" t="str">
        <f>IF(N28&gt;0,(N28*VLOOKUP(Lookups!$K$11,Lookups!$M$10:$P$43,4,0)/VLOOKUP(O28,Lookups!$M$10:$P$43,4,0)),"")</f>
        <v/>
      </c>
      <c r="Q28" s="82" t="s">
        <v>942</v>
      </c>
      <c r="R28" s="88" t="s">
        <v>149</v>
      </c>
      <c r="S28" s="83" t="s">
        <v>594</v>
      </c>
      <c r="T28" s="180"/>
      <c r="U28" s="34"/>
    </row>
    <row r="29" spans="1:21" s="78" customFormat="1" ht="60" hidden="1" customHeight="1" outlineLevel="1" collapsed="1" x14ac:dyDescent="0.25">
      <c r="A29" s="42" t="s">
        <v>179</v>
      </c>
      <c r="B29" s="42" t="s">
        <v>658</v>
      </c>
      <c r="C29" s="42" t="s">
        <v>621</v>
      </c>
      <c r="D29" s="42" t="s">
        <v>944</v>
      </c>
      <c r="E29" s="34" t="s">
        <v>945</v>
      </c>
      <c r="F29" s="34" t="s">
        <v>667</v>
      </c>
      <c r="G29" s="34" t="s">
        <v>213</v>
      </c>
      <c r="H29" s="77">
        <v>45</v>
      </c>
      <c r="I29" s="15" t="s">
        <v>188</v>
      </c>
      <c r="J29" s="17">
        <f>IF(H29&gt;0,(H29*VLOOKUP(Lookups!$K$11,Lookups!$M$10:$P$43,4,0)/VLOOKUP(I29,Lookups!$M$10:$P$43,4,0)),"")</f>
        <v>70.206683357955228</v>
      </c>
      <c r="K29" s="77"/>
      <c r="L29" s="15"/>
      <c r="M29" s="17" t="str">
        <f>IF(K29&gt;0,(K29*VLOOKUP(Lookups!$K$11,Lookups!$M$10:$P$43,4,0)/VLOOKUP(L29,Lookups!$M$10:$P$43,4,0)),"")</f>
        <v/>
      </c>
      <c r="N29" s="77"/>
      <c r="O29" s="15"/>
      <c r="P29" s="17" t="str">
        <f>IF(N29&gt;0,(N29*VLOOKUP(Lookups!$K$11,Lookups!$M$10:$P$43,4,0)/VLOOKUP(O29,Lookups!$M$10:$P$43,4,0)),"")</f>
        <v/>
      </c>
      <c r="Q29" s="82" t="s">
        <v>947</v>
      </c>
      <c r="R29" s="88" t="s">
        <v>149</v>
      </c>
      <c r="S29" s="83" t="s">
        <v>946</v>
      </c>
      <c r="T29" s="180"/>
      <c r="U29" s="34"/>
    </row>
    <row r="30" spans="1:21" s="78" customFormat="1" ht="60" customHeight="1" collapsed="1" x14ac:dyDescent="0.25">
      <c r="A30" s="40" t="s">
        <v>179</v>
      </c>
      <c r="B30" s="40" t="s">
        <v>658</v>
      </c>
      <c r="C30" s="40" t="s">
        <v>622</v>
      </c>
      <c r="D30" s="40" t="s">
        <v>2271</v>
      </c>
      <c r="E30" s="34" t="s">
        <v>164</v>
      </c>
      <c r="F30" s="34" t="s">
        <v>210</v>
      </c>
      <c r="G30" s="34"/>
      <c r="H30" s="77">
        <v>196</v>
      </c>
      <c r="I30" s="15" t="s">
        <v>257</v>
      </c>
      <c r="J30" s="17">
        <f>IF(H30&gt;0,(H30*VLOOKUP(Lookups!$K$11,Lookups!$M$10:$P$43,4,0)/VLOOKUP(I30,Lookups!$M$10:$P$43,4,0)),"")</f>
        <v>231.82005054249703</v>
      </c>
      <c r="K30" s="77"/>
      <c r="L30" s="15"/>
      <c r="M30" s="17" t="str">
        <f>IF(K30&gt;0,(K30*VLOOKUP(Lookups!$K$11,Lookups!$M$10:$P$43,4,0)/VLOOKUP(L30,Lookups!$M$10:$P$43,4,0)),"")</f>
        <v/>
      </c>
      <c r="N30" s="77"/>
      <c r="O30" s="15"/>
      <c r="P30" s="17" t="str">
        <f>IF(N30&gt;0,(N30*VLOOKUP(Lookups!$K$11,Lookups!$M$10:$P$43,4,0)/VLOOKUP(O30,Lookups!$M$10:$P$43,4,0)),"")</f>
        <v/>
      </c>
      <c r="Q30" s="82" t="s">
        <v>1819</v>
      </c>
      <c r="R30" s="15" t="s">
        <v>152</v>
      </c>
      <c r="S30" s="83" t="s">
        <v>2272</v>
      </c>
      <c r="T30" s="180"/>
      <c r="U30" s="34" t="s">
        <v>2319</v>
      </c>
    </row>
    <row r="31" spans="1:21" s="78" customFormat="1" ht="60" hidden="1" customHeight="1" outlineLevel="1" collapsed="1" x14ac:dyDescent="0.25">
      <c r="A31" s="42" t="s">
        <v>179</v>
      </c>
      <c r="B31" s="42" t="s">
        <v>658</v>
      </c>
      <c r="C31" s="42" t="s">
        <v>2320</v>
      </c>
      <c r="D31" s="42" t="s">
        <v>2273</v>
      </c>
      <c r="E31" s="34" t="s">
        <v>164</v>
      </c>
      <c r="F31" s="34" t="s">
        <v>210</v>
      </c>
      <c r="G31" s="34"/>
      <c r="H31" s="77">
        <v>108</v>
      </c>
      <c r="I31" s="15" t="s">
        <v>257</v>
      </c>
      <c r="J31" s="17">
        <f>IF(H31&gt;0,(H31*VLOOKUP(Lookups!$K$11,Lookups!$M$10:$P$43,4,0)/VLOOKUP(I31,Lookups!$M$10:$P$43,4,0)),"")</f>
        <v>127.73757887035552</v>
      </c>
      <c r="K31" s="131"/>
      <c r="L31" s="15"/>
      <c r="M31" s="17" t="str">
        <f>IF(K31&gt;0,(K31*VLOOKUP(Lookups!$K$11,Lookups!$M$10:$P$43,4,0)/VLOOKUP(L31,Lookups!$M$10:$P$43,4,0)),"")</f>
        <v/>
      </c>
      <c r="N31" s="77"/>
      <c r="O31" s="15"/>
      <c r="P31" s="17" t="str">
        <f>IF(N31&gt;0,(N31*VLOOKUP(Lookups!$K$11,Lookups!$M$10:$P$43,4,0)/VLOOKUP(O31,Lookups!$M$10:$P$43,4,0)),"")</f>
        <v/>
      </c>
      <c r="Q31" s="82" t="s">
        <v>1819</v>
      </c>
      <c r="R31" s="15" t="s">
        <v>152</v>
      </c>
      <c r="S31" s="34" t="s">
        <v>2274</v>
      </c>
      <c r="T31" s="180"/>
      <c r="U31" s="34" t="s">
        <v>2318</v>
      </c>
    </row>
    <row r="32" spans="1:21" s="78" customFormat="1" ht="60" hidden="1" customHeight="1" outlineLevel="1" collapsed="1" x14ac:dyDescent="0.25">
      <c r="A32" s="42" t="s">
        <v>179</v>
      </c>
      <c r="B32" s="42" t="s">
        <v>658</v>
      </c>
      <c r="C32" s="42" t="s">
        <v>2321</v>
      </c>
      <c r="D32" s="42" t="s">
        <v>2275</v>
      </c>
      <c r="E32" s="34" t="s">
        <v>164</v>
      </c>
      <c r="F32" s="34" t="s">
        <v>210</v>
      </c>
      <c r="G32" s="34"/>
      <c r="H32" s="77">
        <v>203</v>
      </c>
      <c r="I32" s="15" t="s">
        <v>257</v>
      </c>
      <c r="J32" s="17">
        <f>IF(H32&gt;0,(H32*VLOOKUP(Lookups!$K$11,Lookups!$M$10:$P$43,4,0)/VLOOKUP(I32,Lookups!$M$10:$P$43,4,0)),"")</f>
        <v>240.09933806187195</v>
      </c>
      <c r="K32" s="77"/>
      <c r="L32" s="15"/>
      <c r="M32" s="17" t="str">
        <f>IF(K32&gt;0,(K32*VLOOKUP(Lookups!$K$11,Lookups!$M$10:$P$43,4,0)/VLOOKUP(L32,Lookups!$M$10:$P$43,4,0)),"")</f>
        <v/>
      </c>
      <c r="N32" s="77"/>
      <c r="O32" s="15"/>
      <c r="P32" s="17" t="str">
        <f>IF(N32&gt;0,(N32*VLOOKUP(Lookups!$K$11,Lookups!$M$10:$P$43,4,0)/VLOOKUP(O32,Lookups!$M$10:$P$43,4,0)),"")</f>
        <v/>
      </c>
      <c r="Q32" s="82" t="s">
        <v>1819</v>
      </c>
      <c r="R32" s="15" t="s">
        <v>152</v>
      </c>
      <c r="S32" s="34" t="s">
        <v>2276</v>
      </c>
      <c r="T32" s="180"/>
      <c r="U32" s="34" t="s">
        <v>2318</v>
      </c>
    </row>
    <row r="33" spans="1:22" s="78" customFormat="1" ht="60" hidden="1" customHeight="1" outlineLevel="1" collapsed="1" x14ac:dyDescent="0.25">
      <c r="A33" s="42" t="s">
        <v>179</v>
      </c>
      <c r="B33" s="42" t="s">
        <v>658</v>
      </c>
      <c r="C33" s="42" t="s">
        <v>2322</v>
      </c>
      <c r="D33" s="42" t="s">
        <v>2277</v>
      </c>
      <c r="E33" s="34" t="s">
        <v>164</v>
      </c>
      <c r="F33" s="34" t="s">
        <v>210</v>
      </c>
      <c r="G33" s="34"/>
      <c r="H33" s="77">
        <v>407</v>
      </c>
      <c r="I33" s="15" t="s">
        <v>257</v>
      </c>
      <c r="J33" s="17">
        <f>IF(H33&gt;0,(H33*VLOOKUP(Lookups!$K$11,Lookups!$M$10:$P$43,4,0)/VLOOKUP(I33,Lookups!$M$10:$P$43,4,0)),"")</f>
        <v>481.38143148365452</v>
      </c>
      <c r="K33" s="77"/>
      <c r="L33" s="15"/>
      <c r="M33" s="17" t="str">
        <f>IF(K33&gt;0,(K33*VLOOKUP(Lookups!$K$11,Lookups!$M$10:$P$43,4,0)/VLOOKUP(L33,Lookups!$M$10:$P$43,4,0)),"")</f>
        <v/>
      </c>
      <c r="N33" s="77"/>
      <c r="O33" s="15"/>
      <c r="P33" s="17" t="str">
        <f>IF(N33&gt;0,(N33*VLOOKUP(Lookups!$K$11,Lookups!$M$10:$P$43,4,0)/VLOOKUP(O33,Lookups!$M$10:$P$43,4,0)),"")</f>
        <v/>
      </c>
      <c r="Q33" s="82" t="s">
        <v>1819</v>
      </c>
      <c r="R33" s="15" t="s">
        <v>152</v>
      </c>
      <c r="S33" s="34" t="s">
        <v>2278</v>
      </c>
      <c r="T33" s="180"/>
      <c r="U33" s="34" t="s">
        <v>2318</v>
      </c>
    </row>
    <row r="34" spans="1:22" s="78" customFormat="1" ht="60" hidden="1" customHeight="1" outlineLevel="1" collapsed="1" x14ac:dyDescent="0.25">
      <c r="A34" s="42" t="s">
        <v>179</v>
      </c>
      <c r="B34" s="42" t="s">
        <v>658</v>
      </c>
      <c r="C34" s="42" t="s">
        <v>2323</v>
      </c>
      <c r="D34" s="42" t="s">
        <v>1820</v>
      </c>
      <c r="E34" s="34" t="s">
        <v>164</v>
      </c>
      <c r="F34" s="34" t="s">
        <v>210</v>
      </c>
      <c r="G34" s="34"/>
      <c r="H34" s="77">
        <v>30</v>
      </c>
      <c r="I34" s="15" t="s">
        <v>257</v>
      </c>
      <c r="J34" s="17">
        <f>IF(H34&gt;0,(H34*VLOOKUP(Lookups!$K$11,Lookups!$M$10:$P$43,4,0)/VLOOKUP(I34,Lookups!$M$10:$P$43,4,0)),"")</f>
        <v>35.482660797320975</v>
      </c>
      <c r="K34" s="77"/>
      <c r="L34" s="15"/>
      <c r="M34" s="17" t="str">
        <f>IF(K34&gt;0,(K34*VLOOKUP(Lookups!$K$11,Lookups!$M$10:$P$43,4,0)/VLOOKUP(L34,Lookups!$M$10:$P$43,4,0)),"")</f>
        <v/>
      </c>
      <c r="N34" s="77"/>
      <c r="O34" s="15"/>
      <c r="P34" s="17" t="str">
        <f>IF(N34&gt;0,(N34*VLOOKUP(Lookups!$K$11,Lookups!$M$10:$P$43,4,0)/VLOOKUP(O34,Lookups!$M$10:$P$43,4,0)),"")</f>
        <v/>
      </c>
      <c r="Q34" s="82" t="s">
        <v>1819</v>
      </c>
      <c r="R34" s="15" t="s">
        <v>152</v>
      </c>
      <c r="S34" s="34" t="s">
        <v>2279</v>
      </c>
      <c r="T34" s="180"/>
      <c r="U34" s="34" t="s">
        <v>2318</v>
      </c>
    </row>
    <row r="35" spans="1:22" s="78" customFormat="1" ht="60" customHeight="1" x14ac:dyDescent="0.25">
      <c r="A35" s="38" t="s">
        <v>179</v>
      </c>
      <c r="B35" s="38" t="s">
        <v>658</v>
      </c>
      <c r="C35" s="38" t="s">
        <v>623</v>
      </c>
      <c r="D35" s="40" t="s">
        <v>1761</v>
      </c>
      <c r="E35" s="34" t="s">
        <v>167</v>
      </c>
      <c r="F35" s="34" t="s">
        <v>243</v>
      </c>
      <c r="G35" s="34"/>
      <c r="H35" s="77">
        <f>763+3094+324+3094+5053+1230+1948+6020+1145</f>
        <v>22671</v>
      </c>
      <c r="I35" s="15" t="s">
        <v>257</v>
      </c>
      <c r="J35" s="17">
        <f>IF(H35&gt;0,(H35*VLOOKUP(Lookups!$K$11,Lookups!$M$10:$P$43,4,0)/VLOOKUP(I35,Lookups!$M$10:$P$43,4,0)),"")</f>
        <v>26814.246764535463</v>
      </c>
      <c r="K35" s="126"/>
      <c r="L35" s="15"/>
      <c r="M35" s="17" t="str">
        <f>IF(K35&gt;0,(K35*VLOOKUP(Lookups!$K$11,Lookups!$M$10:$P$43,4,0)/VLOOKUP(L35,Lookups!$M$10:$P$43,4,0)),"")</f>
        <v/>
      </c>
      <c r="N35" s="77"/>
      <c r="O35" s="15"/>
      <c r="P35" s="17" t="str">
        <f>IF(N35&gt;0,(N35*VLOOKUP(Lookups!$K$11,Lookups!$M$10:$P$43,4,0)/VLOOKUP(O35,Lookups!$M$10:$P$43,4,0)),"")</f>
        <v/>
      </c>
      <c r="Q35" s="82" t="s">
        <v>1759</v>
      </c>
      <c r="R35" s="15" t="s">
        <v>149</v>
      </c>
      <c r="S35" s="83" t="s">
        <v>1760</v>
      </c>
      <c r="T35" s="180"/>
      <c r="U35" s="34"/>
    </row>
    <row r="36" spans="1:22" s="78" customFormat="1" ht="60" customHeight="1" collapsed="1" x14ac:dyDescent="0.25">
      <c r="A36" s="40" t="s">
        <v>179</v>
      </c>
      <c r="B36" s="40" t="s">
        <v>157</v>
      </c>
      <c r="C36" s="40" t="s">
        <v>1750</v>
      </c>
      <c r="D36" s="40" t="s">
        <v>2504</v>
      </c>
      <c r="E36" s="34" t="s">
        <v>164</v>
      </c>
      <c r="F36" s="34" t="s">
        <v>214</v>
      </c>
      <c r="G36" s="34" t="s">
        <v>667</v>
      </c>
      <c r="H36" s="77">
        <v>115.16</v>
      </c>
      <c r="I36" s="15" t="s">
        <v>1521</v>
      </c>
      <c r="J36" s="17">
        <f>IF(H36&gt;0,(H36*VLOOKUP(Lookups!$K$11,Lookups!$M$10:$P$43,4,0)/VLOOKUP(I36,Lookups!$M$10:$P$43,4,0)),"")</f>
        <v>119.82913683482613</v>
      </c>
      <c r="K36" s="77"/>
      <c r="L36" s="15"/>
      <c r="M36" s="17" t="str">
        <f>IF(K36&gt;0,(K36*VLOOKUP(Lookups!$K$11,Lookups!$M$10:$P$43,4,0)/VLOOKUP(L36,Lookups!$M$10:$P$43,4,0)),"")</f>
        <v/>
      </c>
      <c r="N36" s="77"/>
      <c r="O36" s="15"/>
      <c r="P36" s="17" t="str">
        <f>IF(N36&gt;0,(N36*VLOOKUP(Lookups!$K$11,Lookups!$M$10:$P$43,4,0)/VLOOKUP(O36,Lookups!$M$10:$P$43,4,0)),"")</f>
        <v/>
      </c>
      <c r="Q36" s="82" t="s">
        <v>2502</v>
      </c>
      <c r="R36" s="15" t="s">
        <v>154</v>
      </c>
      <c r="S36" s="83" t="s">
        <v>2511</v>
      </c>
      <c r="T36" s="180" t="s">
        <v>923</v>
      </c>
      <c r="U36" s="34" t="s">
        <v>2503</v>
      </c>
    </row>
    <row r="37" spans="1:22" s="78" customFormat="1" ht="60" hidden="1" customHeight="1" outlineLevel="1" collapsed="1" x14ac:dyDescent="0.25">
      <c r="A37" s="42" t="s">
        <v>179</v>
      </c>
      <c r="B37" s="42" t="s">
        <v>157</v>
      </c>
      <c r="C37" s="42" t="s">
        <v>2324</v>
      </c>
      <c r="D37" s="42" t="s">
        <v>2505</v>
      </c>
      <c r="E37" s="34" t="s">
        <v>164</v>
      </c>
      <c r="F37" s="34" t="s">
        <v>214</v>
      </c>
      <c r="G37" s="34" t="s">
        <v>667</v>
      </c>
      <c r="H37" s="77">
        <v>108.07</v>
      </c>
      <c r="I37" s="15" t="s">
        <v>1521</v>
      </c>
      <c r="J37" s="17">
        <f>IF(H37&gt;0,(H37*VLOOKUP(Lookups!$K$11,Lookups!$M$10:$P$43,4,0)/VLOOKUP(I37,Lookups!$M$10:$P$43,4,0)),"")</f>
        <v>112.45167434647151</v>
      </c>
      <c r="K37" s="77"/>
      <c r="L37" s="15"/>
      <c r="M37" s="17" t="str">
        <f>IF(K37&gt;0,(K37*VLOOKUP(Lookups!$K$11,Lookups!$M$10:$P$43,4,0)/VLOOKUP(L37,Lookups!$M$10:$P$43,4,0)),"")</f>
        <v/>
      </c>
      <c r="N37" s="77"/>
      <c r="O37" s="15"/>
      <c r="P37" s="17" t="str">
        <f>IF(N37&gt;0,(N37*VLOOKUP(Lookups!$K$11,Lookups!$M$10:$P$43,4,0)/VLOOKUP(O37,Lookups!$M$10:$P$43,4,0)),"")</f>
        <v/>
      </c>
      <c r="Q37" s="82" t="s">
        <v>2502</v>
      </c>
      <c r="R37" s="15" t="s">
        <v>154</v>
      </c>
      <c r="S37" s="83" t="s">
        <v>2512</v>
      </c>
      <c r="T37" s="180" t="s">
        <v>923</v>
      </c>
      <c r="U37" s="34" t="s">
        <v>2503</v>
      </c>
    </row>
    <row r="38" spans="1:22" s="78" customFormat="1" ht="60" hidden="1" customHeight="1" outlineLevel="1" collapsed="1" x14ac:dyDescent="0.25">
      <c r="A38" s="42" t="s">
        <v>179</v>
      </c>
      <c r="B38" s="42" t="s">
        <v>157</v>
      </c>
      <c r="C38" s="42" t="s">
        <v>2325</v>
      </c>
      <c r="D38" s="42" t="s">
        <v>2506</v>
      </c>
      <c r="E38" s="34" t="s">
        <v>164</v>
      </c>
      <c r="F38" s="34" t="s">
        <v>214</v>
      </c>
      <c r="G38" s="34" t="s">
        <v>667</v>
      </c>
      <c r="H38" s="77">
        <v>99.4</v>
      </c>
      <c r="I38" s="15" t="s">
        <v>1521</v>
      </c>
      <c r="J38" s="17">
        <f>IF(H38&gt;0,(H38*VLOOKUP(Lookups!$K$11,Lookups!$M$10:$P$43,4,0)/VLOOKUP(I38,Lookups!$M$10:$P$43,4,0)),"")</f>
        <v>103.43015110612815</v>
      </c>
      <c r="K38" s="77"/>
      <c r="L38" s="15"/>
      <c r="M38" s="17" t="str">
        <f>IF(K38&gt;0,(K38*VLOOKUP(Lookups!$K$11,Lookups!$M$10:$P$43,4,0)/VLOOKUP(L38,Lookups!$M$10:$P$43,4,0)),"")</f>
        <v/>
      </c>
      <c r="N38" s="77"/>
      <c r="O38" s="15"/>
      <c r="P38" s="17" t="str">
        <f>IF(N38&gt;0,(N38*VLOOKUP(Lookups!$K$11,Lookups!$M$10:$P$43,4,0)/VLOOKUP(O38,Lookups!$M$10:$P$43,4,0)),"")</f>
        <v/>
      </c>
      <c r="Q38" s="82" t="s">
        <v>2502</v>
      </c>
      <c r="R38" s="15" t="s">
        <v>154</v>
      </c>
      <c r="S38" s="83" t="s">
        <v>2513</v>
      </c>
      <c r="T38" s="180" t="s">
        <v>923</v>
      </c>
      <c r="U38" s="34" t="s">
        <v>2503</v>
      </c>
    </row>
    <row r="39" spans="1:22" s="78" customFormat="1" ht="60" hidden="1" customHeight="1" outlineLevel="1" collapsed="1" x14ac:dyDescent="0.25">
      <c r="A39" s="42" t="s">
        <v>179</v>
      </c>
      <c r="B39" s="42" t="s">
        <v>157</v>
      </c>
      <c r="C39" s="42" t="s">
        <v>2326</v>
      </c>
      <c r="D39" s="42" t="s">
        <v>2507</v>
      </c>
      <c r="E39" s="34" t="s">
        <v>164</v>
      </c>
      <c r="F39" s="34" t="s">
        <v>214</v>
      </c>
      <c r="G39" s="34" t="s">
        <v>667</v>
      </c>
      <c r="H39" s="77">
        <v>113.67</v>
      </c>
      <c r="I39" s="15" t="s">
        <v>1521</v>
      </c>
      <c r="J39" s="17">
        <f>IF(H39&gt;0,(H39*VLOOKUP(Lookups!$K$11,Lookups!$M$10:$P$43,4,0)/VLOOKUP(I39,Lookups!$M$10:$P$43,4,0)),"")</f>
        <v>118.27872511301395</v>
      </c>
      <c r="K39" s="77"/>
      <c r="L39" s="15"/>
      <c r="M39" s="17" t="str">
        <f>IF(K39&gt;0,(K39*VLOOKUP(Lookups!$K$11,Lookups!$M$10:$P$43,4,0)/VLOOKUP(L39,Lookups!$M$10:$P$43,4,0)),"")</f>
        <v/>
      </c>
      <c r="N39" s="77"/>
      <c r="O39" s="15"/>
      <c r="P39" s="17" t="str">
        <f>IF(N39&gt;0,(N39*VLOOKUP(Lookups!$K$11,Lookups!$M$10:$P$43,4,0)/VLOOKUP(O39,Lookups!$M$10:$P$43,4,0)),"")</f>
        <v/>
      </c>
      <c r="Q39" s="82" t="s">
        <v>2502</v>
      </c>
      <c r="R39" s="15" t="s">
        <v>154</v>
      </c>
      <c r="S39" s="83" t="s">
        <v>2514</v>
      </c>
      <c r="T39" s="180" t="s">
        <v>923</v>
      </c>
      <c r="U39" s="34" t="s">
        <v>2503</v>
      </c>
    </row>
    <row r="40" spans="1:22" s="78" customFormat="1" ht="60" hidden="1" customHeight="1" outlineLevel="1" collapsed="1" x14ac:dyDescent="0.25">
      <c r="A40" s="42" t="s">
        <v>179</v>
      </c>
      <c r="B40" s="42" t="s">
        <v>157</v>
      </c>
      <c r="C40" s="42" t="s">
        <v>2327</v>
      </c>
      <c r="D40" s="42" t="s">
        <v>2508</v>
      </c>
      <c r="E40" s="34" t="s">
        <v>164</v>
      </c>
      <c r="F40" s="34" t="s">
        <v>214</v>
      </c>
      <c r="G40" s="34" t="s">
        <v>667</v>
      </c>
      <c r="H40" s="77">
        <v>137.77000000000001</v>
      </c>
      <c r="I40" s="15" t="s">
        <v>1521</v>
      </c>
      <c r="J40" s="17">
        <f>IF(H40&gt;0,(H40*VLOOKUP(Lookups!$K$11,Lookups!$M$10:$P$43,4,0)/VLOOKUP(I40,Lookups!$M$10:$P$43,4,0)),"")</f>
        <v>143.35585430474123</v>
      </c>
      <c r="K40" s="77"/>
      <c r="L40" s="15"/>
      <c r="M40" s="17" t="str">
        <f>IF(K40&gt;0,(K40*VLOOKUP(Lookups!$K$11,Lookups!$M$10:$P$43,4,0)/VLOOKUP(L40,Lookups!$M$10:$P$43,4,0)),"")</f>
        <v/>
      </c>
      <c r="N40" s="77"/>
      <c r="O40" s="15"/>
      <c r="P40" s="17" t="str">
        <f>IF(N40&gt;0,(N40*VLOOKUP(Lookups!$K$11,Lookups!$M$10:$P$43,4,0)/VLOOKUP(O40,Lookups!$M$10:$P$43,4,0)),"")</f>
        <v/>
      </c>
      <c r="Q40" s="82" t="s">
        <v>2502</v>
      </c>
      <c r="R40" s="15" t="s">
        <v>154</v>
      </c>
      <c r="S40" s="83" t="s">
        <v>2515</v>
      </c>
      <c r="T40" s="180" t="s">
        <v>923</v>
      </c>
      <c r="U40" s="34" t="s">
        <v>2503</v>
      </c>
    </row>
    <row r="41" spans="1:22" s="78" customFormat="1" ht="60" hidden="1" customHeight="1" outlineLevel="1" collapsed="1" x14ac:dyDescent="0.25">
      <c r="A41" s="42" t="s">
        <v>179</v>
      </c>
      <c r="B41" s="42" t="s">
        <v>157</v>
      </c>
      <c r="C41" s="42" t="s">
        <v>2328</v>
      </c>
      <c r="D41" s="42" t="s">
        <v>2509</v>
      </c>
      <c r="E41" s="34" t="s">
        <v>164</v>
      </c>
      <c r="F41" s="34" t="s">
        <v>214</v>
      </c>
      <c r="G41" s="34" t="s">
        <v>667</v>
      </c>
      <c r="H41" s="77">
        <v>122.81</v>
      </c>
      <c r="I41" s="15" t="s">
        <v>1521</v>
      </c>
      <c r="J41" s="17">
        <f>IF(H41&gt;0,(H41*VLOOKUP(Lookups!$K$11,Lookups!$M$10:$P$43,4,0)/VLOOKUP(I41,Lookups!$M$10:$P$43,4,0)),"")</f>
        <v>127.78930439983499</v>
      </c>
      <c r="K41" s="77"/>
      <c r="L41" s="15"/>
      <c r="M41" s="17" t="str">
        <f>IF(K41&gt;0,(K41*VLOOKUP(Lookups!$K$11,Lookups!$M$10:$P$43,4,0)/VLOOKUP(L41,Lookups!$M$10:$P$43,4,0)),"")</f>
        <v/>
      </c>
      <c r="N41" s="77"/>
      <c r="O41" s="15"/>
      <c r="P41" s="17" t="str">
        <f>IF(N41&gt;0,(N41*VLOOKUP(Lookups!$K$11,Lookups!$M$10:$P$43,4,0)/VLOOKUP(O41,Lookups!$M$10:$P$43,4,0)),"")</f>
        <v/>
      </c>
      <c r="Q41" s="82" t="s">
        <v>2502</v>
      </c>
      <c r="R41" s="15" t="s">
        <v>154</v>
      </c>
      <c r="S41" s="187" t="s">
        <v>2516</v>
      </c>
      <c r="T41" s="180" t="s">
        <v>923</v>
      </c>
      <c r="U41" s="34" t="s">
        <v>2503</v>
      </c>
    </row>
    <row r="42" spans="1:22" s="78" customFormat="1" ht="60" hidden="1" customHeight="1" outlineLevel="1" collapsed="1" x14ac:dyDescent="0.25">
      <c r="A42" s="42" t="s">
        <v>179</v>
      </c>
      <c r="B42" s="42" t="s">
        <v>157</v>
      </c>
      <c r="C42" s="42" t="s">
        <v>2329</v>
      </c>
      <c r="D42" s="42" t="s">
        <v>2510</v>
      </c>
      <c r="E42" s="34" t="s">
        <v>164</v>
      </c>
      <c r="F42" s="34" t="s">
        <v>214</v>
      </c>
      <c r="G42" s="34" t="s">
        <v>667</v>
      </c>
      <c r="H42" s="77">
        <v>135.24</v>
      </c>
      <c r="I42" s="15" t="s">
        <v>1521</v>
      </c>
      <c r="J42" s="17">
        <f>IF(H42&gt;0,(H42*VLOOKUP(Lookups!$K$11,Lookups!$M$10:$P$43,4,0)/VLOOKUP(I42,Lookups!$M$10:$P$43,4,0)),"")</f>
        <v>140.72327601199973</v>
      </c>
      <c r="K42" s="77"/>
      <c r="L42" s="15"/>
      <c r="M42" s="17" t="str">
        <f>IF(K42&gt;0,(K42*VLOOKUP(Lookups!$K$11,Lookups!$M$10:$P$43,4,0)/VLOOKUP(L42,Lookups!$M$10:$P$43,4,0)),"")</f>
        <v/>
      </c>
      <c r="N42" s="77"/>
      <c r="O42" s="15"/>
      <c r="P42" s="17" t="str">
        <f>IF(N42&gt;0,(N42*VLOOKUP(Lookups!$K$11,Lookups!$M$10:$P$43,4,0)/VLOOKUP(O42,Lookups!$M$10:$P$43,4,0)),"")</f>
        <v/>
      </c>
      <c r="Q42" s="82" t="s">
        <v>2502</v>
      </c>
      <c r="R42" s="15" t="s">
        <v>154</v>
      </c>
      <c r="S42" s="83" t="s">
        <v>2517</v>
      </c>
      <c r="T42" s="180" t="s">
        <v>923</v>
      </c>
      <c r="U42" s="34" t="s">
        <v>2503</v>
      </c>
    </row>
    <row r="43" spans="1:22" s="78" customFormat="1" ht="60" hidden="1" customHeight="1" outlineLevel="1" collapsed="1" x14ac:dyDescent="0.25">
      <c r="A43" s="42" t="s">
        <v>179</v>
      </c>
      <c r="B43" s="42" t="s">
        <v>157</v>
      </c>
      <c r="C43" s="42" t="s">
        <v>2330</v>
      </c>
      <c r="D43" s="42" t="s">
        <v>2518</v>
      </c>
      <c r="E43" s="34" t="s">
        <v>164</v>
      </c>
      <c r="F43" s="34" t="s">
        <v>214</v>
      </c>
      <c r="G43" s="34" t="s">
        <v>667</v>
      </c>
      <c r="H43" s="77">
        <v>153.5</v>
      </c>
      <c r="I43" s="15" t="s">
        <v>1521</v>
      </c>
      <c r="J43" s="17">
        <f>IF(H43&gt;0,(H43*VLOOKUP(Lookups!$K$11,Lookups!$M$10:$P$43,4,0)/VLOOKUP(I43,Lookups!$M$10:$P$43,4,0)),"")</f>
        <v>159.72362369004699</v>
      </c>
      <c r="K43" s="77"/>
      <c r="L43" s="15"/>
      <c r="M43" s="17" t="str">
        <f>IF(K43&gt;0,(K43*VLOOKUP(Lookups!$K$11,Lookups!$M$10:$P$43,4,0)/VLOOKUP(L43,Lookups!$M$10:$P$43,4,0)),"")</f>
        <v/>
      </c>
      <c r="N43" s="77"/>
      <c r="O43" s="15"/>
      <c r="P43" s="17" t="str">
        <f>IF(N43&gt;0,(N43*VLOOKUP(Lookups!$K$11,Lookups!$M$10:$P$43,4,0)/VLOOKUP(O43,Lookups!$M$10:$P$43,4,0)),"")</f>
        <v/>
      </c>
      <c r="Q43" s="82" t="s">
        <v>2502</v>
      </c>
      <c r="R43" s="15" t="s">
        <v>154</v>
      </c>
      <c r="S43" s="83" t="s">
        <v>2519</v>
      </c>
      <c r="T43" s="180" t="s">
        <v>923</v>
      </c>
      <c r="U43" s="34" t="s">
        <v>2503</v>
      </c>
    </row>
    <row r="44" spans="1:22" s="78" customFormat="1" ht="60" customHeight="1" collapsed="1" x14ac:dyDescent="0.25">
      <c r="A44" s="40" t="s">
        <v>179</v>
      </c>
      <c r="B44" s="40" t="s">
        <v>157</v>
      </c>
      <c r="C44" s="40" t="s">
        <v>1751</v>
      </c>
      <c r="D44" s="40" t="s">
        <v>928</v>
      </c>
      <c r="E44" s="34" t="s">
        <v>792</v>
      </c>
      <c r="F44" s="34" t="s">
        <v>667</v>
      </c>
      <c r="G44" s="34" t="s">
        <v>214</v>
      </c>
      <c r="H44" s="77">
        <v>48</v>
      </c>
      <c r="I44" s="15" t="s">
        <v>196</v>
      </c>
      <c r="J44" s="17">
        <f>IF(H44&gt;0,(H44*VLOOKUP(Lookups!$K$11,Lookups!$M$10:$P$43,4,0)/VLOOKUP(I44,Lookups!$M$10:$P$43,4,0)),"")</f>
        <v>61.208736974798718</v>
      </c>
      <c r="K44" s="77"/>
      <c r="L44" s="15"/>
      <c r="M44" s="17" t="str">
        <f>IF(K44&gt;0,(K44*VLOOKUP(Lookups!$K$11,Lookups!$M$10:$P$43,4,0)/VLOOKUP(L44,Lookups!$M$10:$P$43,4,0)),"")</f>
        <v/>
      </c>
      <c r="N44" s="77"/>
      <c r="O44" s="15"/>
      <c r="P44" s="17" t="str">
        <f>IF(N44&gt;0,(N44*VLOOKUP(Lookups!$K$11,Lookups!$M$10:$P$43,4,0)/VLOOKUP(O44,Lookups!$M$10:$P$43,4,0)),"")</f>
        <v/>
      </c>
      <c r="Q44" s="82" t="s">
        <v>809</v>
      </c>
      <c r="R44" s="15" t="s">
        <v>149</v>
      </c>
      <c r="S44" s="83" t="s">
        <v>941</v>
      </c>
      <c r="T44" s="180"/>
      <c r="U44" s="34"/>
    </row>
    <row r="45" spans="1:22" s="78" customFormat="1" ht="60" customHeight="1" collapsed="1" x14ac:dyDescent="0.25">
      <c r="A45" s="40" t="s">
        <v>179</v>
      </c>
      <c r="B45" s="40" t="s">
        <v>1749</v>
      </c>
      <c r="C45" s="40" t="s">
        <v>1752</v>
      </c>
      <c r="D45" s="40" t="s">
        <v>2588</v>
      </c>
      <c r="E45" s="34" t="s">
        <v>164</v>
      </c>
      <c r="F45" s="34"/>
      <c r="G45" s="34"/>
      <c r="H45" s="172"/>
      <c r="I45" s="15"/>
      <c r="J45" s="17" t="str">
        <f>IF(H45&gt;0,(H45*VLOOKUP(Lookups!$K$11,Lookups!$M$10:$P$43,4,0)/VLOOKUP(I45,Lookups!$M$10:$P$43,4,0)),"")</f>
        <v/>
      </c>
      <c r="K45" s="172">
        <v>88.273037595854902</v>
      </c>
      <c r="L45" s="15" t="s">
        <v>1520</v>
      </c>
      <c r="M45" s="17">
        <f>IF(K45&gt;0,(K45*VLOOKUP(Lookups!$K$11,Lookups!$M$10:$P$43,4,0)/VLOOKUP(L45,Lookups!$M$10:$P$43,4,0)),"")</f>
        <v>90.914433654601538</v>
      </c>
      <c r="N45" s="77"/>
      <c r="O45" s="15"/>
      <c r="P45" s="17" t="str">
        <f>IF(N45&gt;0,(N45*VLOOKUP(Lookups!$K$11,Lookups!$M$10:$P$43,4,0)/VLOOKUP(O45,Lookups!$M$10:$P$43,4,0)),"")</f>
        <v/>
      </c>
      <c r="Q45" s="173" t="s">
        <v>2526</v>
      </c>
      <c r="R45" s="15" t="s">
        <v>152</v>
      </c>
      <c r="S45" s="187" t="s">
        <v>2525</v>
      </c>
      <c r="T45" s="180" t="s">
        <v>923</v>
      </c>
      <c r="U45" s="34" t="s">
        <v>2535</v>
      </c>
    </row>
    <row r="46" spans="1:22" s="78" customFormat="1" ht="60" hidden="1" customHeight="1" outlineLevel="1" collapsed="1" x14ac:dyDescent="0.25">
      <c r="A46" s="42" t="s">
        <v>179</v>
      </c>
      <c r="B46" s="42" t="s">
        <v>1749</v>
      </c>
      <c r="C46" s="42" t="s">
        <v>1925</v>
      </c>
      <c r="D46" s="42" t="s">
        <v>2589</v>
      </c>
      <c r="E46" s="34" t="s">
        <v>164</v>
      </c>
      <c r="F46" s="34"/>
      <c r="G46" s="34"/>
      <c r="H46" s="77"/>
      <c r="I46" s="15"/>
      <c r="J46" s="17" t="str">
        <f>IF(H46&gt;0,(H46*VLOOKUP(Lookups!$K$11,Lookups!$M$10:$P$43,4,0)/VLOOKUP(I46,Lookups!$M$10:$P$43,4,0)),"")</f>
        <v/>
      </c>
      <c r="K46" s="77">
        <v>88.09</v>
      </c>
      <c r="L46" s="15" t="s">
        <v>1520</v>
      </c>
      <c r="M46" s="17">
        <f>IF(K46&gt;0,(K46*VLOOKUP(Lookups!$K$11,Lookups!$M$10:$P$43,4,0)/VLOOKUP(L46,Lookups!$M$10:$P$43,4,0)),"")</f>
        <v>90.72591902071261</v>
      </c>
      <c r="N46" s="77"/>
      <c r="O46" s="15"/>
      <c r="P46" s="17" t="str">
        <f>IF(N46&gt;0,(N46*VLOOKUP(Lookups!$K$11,Lookups!$M$10:$P$43,4,0)/VLOOKUP(O46,Lookups!$M$10:$P$43,4,0)),"")</f>
        <v/>
      </c>
      <c r="Q46" s="143" t="s">
        <v>2527</v>
      </c>
      <c r="R46" s="15" t="s">
        <v>152</v>
      </c>
      <c r="S46" s="34" t="s">
        <v>2530</v>
      </c>
      <c r="T46" s="180" t="s">
        <v>923</v>
      </c>
      <c r="U46" s="34" t="s">
        <v>2535</v>
      </c>
      <c r="V46" s="163"/>
    </row>
    <row r="47" spans="1:22" s="78" customFormat="1" ht="60" hidden="1" customHeight="1" outlineLevel="1" collapsed="1" x14ac:dyDescent="0.25">
      <c r="A47" s="42" t="s">
        <v>179</v>
      </c>
      <c r="B47" s="42" t="s">
        <v>1749</v>
      </c>
      <c r="C47" s="42" t="s">
        <v>1926</v>
      </c>
      <c r="D47" s="42" t="s">
        <v>2590</v>
      </c>
      <c r="E47" s="34" t="s">
        <v>164</v>
      </c>
      <c r="F47" s="34"/>
      <c r="G47" s="34"/>
      <c r="H47" s="77"/>
      <c r="I47" s="15"/>
      <c r="J47" s="17" t="str">
        <f>IF(H47&gt;0,(H47*VLOOKUP(Lookups!$K$11,Lookups!$M$10:$P$43,4,0)/VLOOKUP(I47,Lookups!$M$10:$P$43,4,0)),"")</f>
        <v/>
      </c>
      <c r="K47" s="77">
        <v>74.739999999999995</v>
      </c>
      <c r="L47" s="15" t="s">
        <v>1520</v>
      </c>
      <c r="M47" s="17">
        <f>IF(K47&gt;0,(K47*VLOOKUP(Lookups!$K$11,Lookups!$M$10:$P$43,4,0)/VLOOKUP(L47,Lookups!$M$10:$P$43,4,0)),"")</f>
        <v>76.976446675082983</v>
      </c>
      <c r="N47" s="77"/>
      <c r="O47" s="15"/>
      <c r="P47" s="17" t="str">
        <f>IF(N47&gt;0,(N47*VLOOKUP(Lookups!$K$11,Lookups!$M$10:$P$43,4,0)/VLOOKUP(O47,Lookups!$M$10:$P$43,4,0)),"")</f>
        <v/>
      </c>
      <c r="Q47" s="143" t="s">
        <v>2528</v>
      </c>
      <c r="R47" s="15" t="s">
        <v>152</v>
      </c>
      <c r="S47" s="34" t="s">
        <v>2529</v>
      </c>
      <c r="T47" s="180" t="s">
        <v>923</v>
      </c>
      <c r="U47" s="34" t="s">
        <v>2535</v>
      </c>
      <c r="V47" s="163"/>
    </row>
    <row r="48" spans="1:22" s="78" customFormat="1" ht="60" hidden="1" customHeight="1" outlineLevel="1" collapsed="1" x14ac:dyDescent="0.25">
      <c r="A48" s="42" t="s">
        <v>179</v>
      </c>
      <c r="B48" s="42" t="s">
        <v>1749</v>
      </c>
      <c r="C48" s="42" t="s">
        <v>1927</v>
      </c>
      <c r="D48" s="42" t="s">
        <v>2591</v>
      </c>
      <c r="E48" s="34" t="s">
        <v>164</v>
      </c>
      <c r="F48" s="34"/>
      <c r="G48" s="34"/>
      <c r="H48" s="77"/>
      <c r="I48" s="15"/>
      <c r="J48" s="17" t="str">
        <f>IF(H48&gt;0,(H48*VLOOKUP(Lookups!$K$11,Lookups!$M$10:$P$43,4,0)/VLOOKUP(I48,Lookups!$M$10:$P$43,4,0)),"")</f>
        <v/>
      </c>
      <c r="K48" s="77">
        <v>77.12</v>
      </c>
      <c r="L48" s="15" t="s">
        <v>1520</v>
      </c>
      <c r="M48" s="17">
        <f>IF(K48&gt;0,(K48*VLOOKUP(Lookups!$K$11,Lookups!$M$10:$P$43,4,0)/VLOOKUP(L48,Lookups!$M$10:$P$43,4,0)),"")</f>
        <v>79.427663467786999</v>
      </c>
      <c r="N48" s="77"/>
      <c r="O48" s="15"/>
      <c r="P48" s="17" t="str">
        <f>IF(N48&gt;0,(N48*VLOOKUP(Lookups!$K$11,Lookups!$M$10:$P$43,4,0)/VLOOKUP(O48,Lookups!$M$10:$P$43,4,0)),"")</f>
        <v/>
      </c>
      <c r="Q48" s="143" t="s">
        <v>2528</v>
      </c>
      <c r="R48" s="15" t="s">
        <v>152</v>
      </c>
      <c r="S48" s="34" t="s">
        <v>2531</v>
      </c>
      <c r="T48" s="180" t="s">
        <v>923</v>
      </c>
      <c r="U48" s="34" t="s">
        <v>2535</v>
      </c>
    </row>
    <row r="49" spans="1:22" s="78" customFormat="1" ht="60" hidden="1" customHeight="1" outlineLevel="1" collapsed="1" x14ac:dyDescent="0.25">
      <c r="A49" s="42" t="s">
        <v>179</v>
      </c>
      <c r="B49" s="42" t="s">
        <v>1749</v>
      </c>
      <c r="C49" s="42" t="s">
        <v>1928</v>
      </c>
      <c r="D49" s="42" t="s">
        <v>2592</v>
      </c>
      <c r="E49" s="34" t="s">
        <v>164</v>
      </c>
      <c r="F49" s="34"/>
      <c r="G49" s="34"/>
      <c r="H49" s="77"/>
      <c r="I49" s="15"/>
      <c r="J49" s="17" t="str">
        <f>IF(H49&gt;0,(H49*VLOOKUP(Lookups!$K$11,Lookups!$M$10:$P$43,4,0)/VLOOKUP(I49,Lookups!$M$10:$P$43,4,0)),"")</f>
        <v/>
      </c>
      <c r="K49" s="77">
        <v>87.06</v>
      </c>
      <c r="L49" s="15" t="s">
        <v>1520</v>
      </c>
      <c r="M49" s="17">
        <f>IF(K49&gt;0,(K49*VLOOKUP(Lookups!$K$11,Lookups!$M$10:$P$43,4,0)/VLOOKUP(L49,Lookups!$M$10:$P$43,4,0)),"")</f>
        <v>89.665098307903733</v>
      </c>
      <c r="N49" s="77"/>
      <c r="O49" s="15"/>
      <c r="P49" s="17" t="str">
        <f>IF(N49&gt;0,(N49*VLOOKUP(Lookups!$K$11,Lookups!$M$10:$P$43,4,0)/VLOOKUP(O49,Lookups!$M$10:$P$43,4,0)),"")</f>
        <v/>
      </c>
      <c r="Q49" s="143" t="s">
        <v>2528</v>
      </c>
      <c r="R49" s="15" t="s">
        <v>152</v>
      </c>
      <c r="S49" s="34" t="s">
        <v>2532</v>
      </c>
      <c r="T49" s="180" t="s">
        <v>923</v>
      </c>
      <c r="U49" s="34" t="s">
        <v>2535</v>
      </c>
    </row>
    <row r="50" spans="1:22" s="78" customFormat="1" ht="60" hidden="1" customHeight="1" outlineLevel="1" collapsed="1" x14ac:dyDescent="0.25">
      <c r="A50" s="42" t="s">
        <v>179</v>
      </c>
      <c r="B50" s="42" t="s">
        <v>1749</v>
      </c>
      <c r="C50" s="42" t="s">
        <v>1929</v>
      </c>
      <c r="D50" s="42" t="s">
        <v>2593</v>
      </c>
      <c r="E50" s="34" t="s">
        <v>164</v>
      </c>
      <c r="F50" s="34"/>
      <c r="G50" s="34"/>
      <c r="H50" s="77"/>
      <c r="I50" s="15"/>
      <c r="J50" s="17" t="str">
        <f>IF(H50&gt;0,(H50*VLOOKUP(Lookups!$K$11,Lookups!$M$10:$P$43,4,0)/VLOOKUP(I50,Lookups!$M$10:$P$43,4,0)),"")</f>
        <v/>
      </c>
      <c r="K50" s="77">
        <v>95.98</v>
      </c>
      <c r="L50" s="15" t="s">
        <v>1520</v>
      </c>
      <c r="M50" s="17">
        <f>IF(K50&gt;0,(K50*VLOOKUP(Lookups!$K$11,Lookups!$M$10:$P$43,4,0)/VLOOKUP(L50,Lookups!$M$10:$P$43,4,0)),"")</f>
        <v>98.852011665433039</v>
      </c>
      <c r="N50" s="77"/>
      <c r="O50" s="15"/>
      <c r="P50" s="17" t="str">
        <f>IF(N50&gt;0,(N50*VLOOKUP(Lookups!$K$11,Lookups!$M$10:$P$43,4,0)/VLOOKUP(O50,Lookups!$M$10:$P$43,4,0)),"")</f>
        <v/>
      </c>
      <c r="Q50" s="143" t="s">
        <v>2528</v>
      </c>
      <c r="R50" s="15" t="s">
        <v>152</v>
      </c>
      <c r="S50" s="34" t="s">
        <v>2533</v>
      </c>
      <c r="T50" s="180" t="s">
        <v>923</v>
      </c>
      <c r="U50" s="34" t="s">
        <v>2535</v>
      </c>
    </row>
    <row r="51" spans="1:22" s="78" customFormat="1" ht="60" hidden="1" customHeight="1" outlineLevel="1" collapsed="1" x14ac:dyDescent="0.25">
      <c r="A51" s="42" t="s">
        <v>179</v>
      </c>
      <c r="B51" s="42" t="s">
        <v>1749</v>
      </c>
      <c r="C51" s="42" t="s">
        <v>2587</v>
      </c>
      <c r="D51" s="42" t="s">
        <v>2594</v>
      </c>
      <c r="E51" s="34" t="s">
        <v>164</v>
      </c>
      <c r="F51" s="34"/>
      <c r="G51" s="34"/>
      <c r="H51" s="77"/>
      <c r="I51" s="15"/>
      <c r="J51" s="17" t="str">
        <f>IF(H51&gt;0,(H51*VLOOKUP(Lookups!$K$11,Lookups!$M$10:$P$43,4,0)/VLOOKUP(I51,Lookups!$M$10:$P$43,4,0)),"")</f>
        <v/>
      </c>
      <c r="K51" s="77">
        <v>114.3</v>
      </c>
      <c r="L51" s="15" t="s">
        <v>1520</v>
      </c>
      <c r="M51" s="17">
        <f>IF(K51&gt;0,(K51*VLOOKUP(Lookups!$K$11,Lookups!$M$10:$P$43,4,0)/VLOOKUP(L51,Lookups!$M$10:$P$43,4,0)),"")</f>
        <v>117.72020143112103</v>
      </c>
      <c r="N51" s="77"/>
      <c r="O51" s="15"/>
      <c r="P51" s="17" t="str">
        <f>IF(N51&gt;0,(N51*VLOOKUP(Lookups!$K$11,Lookups!$M$10:$P$43,4,0)/VLOOKUP(O51,Lookups!$M$10:$P$43,4,0)),"")</f>
        <v/>
      </c>
      <c r="Q51" s="143" t="s">
        <v>2528</v>
      </c>
      <c r="R51" s="15" t="s">
        <v>152</v>
      </c>
      <c r="S51" s="34" t="s">
        <v>2534</v>
      </c>
      <c r="T51" s="180" t="s">
        <v>923</v>
      </c>
      <c r="U51" s="34" t="s">
        <v>2535</v>
      </c>
    </row>
    <row r="52" spans="1:22" s="78" customFormat="1" ht="60" customHeight="1" collapsed="1" x14ac:dyDescent="0.25">
      <c r="A52" s="40" t="s">
        <v>179</v>
      </c>
      <c r="B52" s="40" t="s">
        <v>1749</v>
      </c>
      <c r="C52" s="40" t="s">
        <v>1753</v>
      </c>
      <c r="D52" s="40" t="s">
        <v>2540</v>
      </c>
      <c r="E52" s="34" t="s">
        <v>164</v>
      </c>
      <c r="F52" s="34"/>
      <c r="G52" s="34"/>
      <c r="H52" s="77"/>
      <c r="I52" s="15"/>
      <c r="J52" s="17" t="str">
        <f>IF(H52&gt;0,(H52*VLOOKUP(Lookups!$K$11,Lookups!$M$10:$P$43,4,0)/VLOOKUP(I52,Lookups!$M$10:$P$43,4,0)),"")</f>
        <v/>
      </c>
      <c r="K52" s="77">
        <v>96.6</v>
      </c>
      <c r="L52" s="15" t="s">
        <v>1520</v>
      </c>
      <c r="M52" s="17">
        <f>IF(K52&gt;0,(K52*VLOOKUP(Lookups!$K$11,Lookups!$M$10:$P$43,4,0)/VLOOKUP(L52,Lookups!$M$10:$P$43,4,0)),"")</f>
        <v>99.490563939162641</v>
      </c>
      <c r="N52" s="77"/>
      <c r="O52" s="15"/>
      <c r="P52" s="17" t="str">
        <f>IF(N52&gt;0,(N52*VLOOKUP(Lookups!$K$11,Lookups!$M$10:$P$43,4,0)/VLOOKUP(O52,Lookups!$M$10:$P$43,4,0)),"")</f>
        <v/>
      </c>
      <c r="Q52" s="82" t="s">
        <v>2537</v>
      </c>
      <c r="R52" s="15" t="s">
        <v>152</v>
      </c>
      <c r="S52" s="83" t="s">
        <v>2536</v>
      </c>
      <c r="T52" s="180" t="s">
        <v>923</v>
      </c>
      <c r="U52" s="34" t="s">
        <v>2535</v>
      </c>
      <c r="V52" s="163"/>
    </row>
    <row r="53" spans="1:22" s="78" customFormat="1" ht="60" hidden="1" customHeight="1" outlineLevel="1" collapsed="1" x14ac:dyDescent="0.25">
      <c r="A53" s="42" t="s">
        <v>179</v>
      </c>
      <c r="B53" s="42" t="s">
        <v>1749</v>
      </c>
      <c r="C53" s="42" t="s">
        <v>1754</v>
      </c>
      <c r="D53" s="42" t="s">
        <v>2539</v>
      </c>
      <c r="E53" s="34" t="s">
        <v>164</v>
      </c>
      <c r="F53" s="34"/>
      <c r="G53" s="34"/>
      <c r="H53" s="77"/>
      <c r="I53" s="15"/>
      <c r="J53" s="17" t="str">
        <f>IF(H53&gt;0,(H53*VLOOKUP(Lookups!$K$11,Lookups!$M$10:$P$43,4,0)/VLOOKUP(I53,Lookups!$M$10:$P$43,4,0)),"")</f>
        <v/>
      </c>
      <c r="K53" s="77">
        <v>75.22</v>
      </c>
      <c r="L53" s="15" t="s">
        <v>1520</v>
      </c>
      <c r="M53" s="17">
        <f>IF(K53&gt;0,(K53*VLOOKUP(Lookups!$K$11,Lookups!$M$10:$P$43,4,0)/VLOOKUP(L53,Lookups!$M$10:$P$43,4,0)),"")</f>
        <v>77.470809725712357</v>
      </c>
      <c r="N53" s="77"/>
      <c r="O53" s="15"/>
      <c r="P53" s="17" t="str">
        <f>IF(N53&gt;0,(N53*VLOOKUP(Lookups!$K$11,Lookups!$M$10:$P$43,4,0)/VLOOKUP(O53,Lookups!$M$10:$P$43,4,0)),"")</f>
        <v/>
      </c>
      <c r="Q53" s="82" t="s">
        <v>2537</v>
      </c>
      <c r="R53" s="15" t="s">
        <v>152</v>
      </c>
      <c r="S53" s="83" t="s">
        <v>2538</v>
      </c>
      <c r="T53" s="180" t="s">
        <v>923</v>
      </c>
      <c r="U53" s="34" t="s">
        <v>2535</v>
      </c>
    </row>
    <row r="54" spans="1:22" s="78" customFormat="1" ht="60" hidden="1" customHeight="1" outlineLevel="1" collapsed="1" x14ac:dyDescent="0.25">
      <c r="A54" s="42" t="s">
        <v>179</v>
      </c>
      <c r="B54" s="42" t="s">
        <v>1749</v>
      </c>
      <c r="C54" s="42" t="s">
        <v>1755</v>
      </c>
      <c r="D54" s="42" t="s">
        <v>2547</v>
      </c>
      <c r="E54" s="34" t="s">
        <v>164</v>
      </c>
      <c r="F54" s="34"/>
      <c r="G54" s="34"/>
      <c r="H54" s="77"/>
      <c r="I54" s="15"/>
      <c r="J54" s="17" t="str">
        <f>IF(H54&gt;0,(H54*VLOOKUP(Lookups!$K$11,Lookups!$M$10:$P$43,4,0)/VLOOKUP(I54,Lookups!$M$10:$P$43,4,0)),"")</f>
        <v/>
      </c>
      <c r="K54" s="77">
        <v>83.13</v>
      </c>
      <c r="L54" s="15" t="s">
        <v>1520</v>
      </c>
      <c r="M54" s="17">
        <f>IF(K54&gt;0,(K54*VLOOKUP(Lookups!$K$11,Lookups!$M$10:$P$43,4,0)/VLOOKUP(L54,Lookups!$M$10:$P$43,4,0)),"")</f>
        <v>85.61750083087567</v>
      </c>
      <c r="N54" s="77"/>
      <c r="O54" s="15"/>
      <c r="P54" s="17" t="str">
        <f>IF(N54&gt;0,(N54*VLOOKUP(Lookups!$K$11,Lookups!$M$10:$P$43,4,0)/VLOOKUP(O54,Lookups!$M$10:$P$43,4,0)),"")</f>
        <v/>
      </c>
      <c r="Q54" s="82" t="s">
        <v>2537</v>
      </c>
      <c r="R54" s="15" t="s">
        <v>152</v>
      </c>
      <c r="S54" s="83" t="s">
        <v>2541</v>
      </c>
      <c r="T54" s="180" t="s">
        <v>923</v>
      </c>
      <c r="U54" s="34" t="s">
        <v>2535</v>
      </c>
    </row>
    <row r="55" spans="1:22" s="78" customFormat="1" ht="60" hidden="1" customHeight="1" outlineLevel="1" collapsed="1" x14ac:dyDescent="0.25">
      <c r="A55" s="42" t="s">
        <v>179</v>
      </c>
      <c r="B55" s="42" t="s">
        <v>1749</v>
      </c>
      <c r="C55" s="42" t="s">
        <v>1756</v>
      </c>
      <c r="D55" s="42" t="s">
        <v>2548</v>
      </c>
      <c r="E55" s="34" t="s">
        <v>164</v>
      </c>
      <c r="F55" s="34"/>
      <c r="G55" s="34"/>
      <c r="H55" s="77"/>
      <c r="I55" s="15"/>
      <c r="J55" s="17" t="str">
        <f>IF(H55&gt;0,(H55*VLOOKUP(Lookups!$K$11,Lookups!$M$10:$P$43,4,0)/VLOOKUP(I55,Lookups!$M$10:$P$43,4,0)),"")</f>
        <v/>
      </c>
      <c r="K55" s="77">
        <v>94.93</v>
      </c>
      <c r="L55" s="15" t="s">
        <v>1520</v>
      </c>
      <c r="M55" s="17">
        <f>IF(K55&gt;0,(K55*VLOOKUP(Lookups!$K$11,Lookups!$M$10:$P$43,4,0)/VLOOKUP(L55,Lookups!$M$10:$P$43,4,0)),"")</f>
        <v>97.770592492181279</v>
      </c>
      <c r="N55" s="77"/>
      <c r="O55" s="15"/>
      <c r="P55" s="17" t="str">
        <f>IF(N55&gt;0,(N55*VLOOKUP(Lookups!$K$11,Lookups!$M$10:$P$43,4,0)/VLOOKUP(O55,Lookups!$M$10:$P$43,4,0)),"")</f>
        <v/>
      </c>
      <c r="Q55" s="82" t="s">
        <v>2537</v>
      </c>
      <c r="R55" s="15" t="s">
        <v>152</v>
      </c>
      <c r="S55" s="83" t="s">
        <v>2542</v>
      </c>
      <c r="T55" s="180" t="s">
        <v>923</v>
      </c>
      <c r="U55" s="34" t="s">
        <v>2535</v>
      </c>
    </row>
    <row r="56" spans="1:22" s="78" customFormat="1" ht="60" hidden="1" customHeight="1" outlineLevel="1" collapsed="1" x14ac:dyDescent="0.25">
      <c r="A56" s="42" t="s">
        <v>179</v>
      </c>
      <c r="B56" s="42" t="s">
        <v>1749</v>
      </c>
      <c r="C56" s="42" t="s">
        <v>1757</v>
      </c>
      <c r="D56" s="42" t="s">
        <v>2549</v>
      </c>
      <c r="E56" s="34" t="s">
        <v>164</v>
      </c>
      <c r="F56" s="34"/>
      <c r="G56" s="34"/>
      <c r="H56" s="77"/>
      <c r="I56" s="15"/>
      <c r="J56" s="17" t="str">
        <f>IF(H56&gt;0,(H56*VLOOKUP(Lookups!$K$11,Lookups!$M$10:$P$43,4,0)/VLOOKUP(I56,Lookups!$M$10:$P$43,4,0)),"")</f>
        <v/>
      </c>
      <c r="K56" s="77">
        <v>104.86</v>
      </c>
      <c r="L56" s="15" t="s">
        <v>1520</v>
      </c>
      <c r="M56" s="17">
        <f>IF(K56&gt;0,(K56*VLOOKUP(Lookups!$K$11,Lookups!$M$10:$P$43,4,0)/VLOOKUP(L56,Lookups!$M$10:$P$43,4,0)),"")</f>
        <v>107.99772810207655</v>
      </c>
      <c r="N56" s="77"/>
      <c r="O56" s="15"/>
      <c r="P56" s="17" t="str">
        <f>IF(N56&gt;0,(N56*VLOOKUP(Lookups!$K$11,Lookups!$M$10:$P$43,4,0)/VLOOKUP(O56,Lookups!$M$10:$P$43,4,0)),"")</f>
        <v/>
      </c>
      <c r="Q56" s="82" t="s">
        <v>2537</v>
      </c>
      <c r="R56" s="15" t="s">
        <v>152</v>
      </c>
      <c r="S56" s="83" t="s">
        <v>2543</v>
      </c>
      <c r="T56" s="180" t="s">
        <v>923</v>
      </c>
      <c r="U56" s="34" t="s">
        <v>2535</v>
      </c>
    </row>
    <row r="57" spans="1:22" s="78" customFormat="1" ht="60" hidden="1" customHeight="1" outlineLevel="1" collapsed="1" x14ac:dyDescent="0.25">
      <c r="A57" s="42" t="s">
        <v>179</v>
      </c>
      <c r="B57" s="42" t="s">
        <v>1749</v>
      </c>
      <c r="C57" s="42" t="s">
        <v>1758</v>
      </c>
      <c r="D57" s="42" t="s">
        <v>2550</v>
      </c>
      <c r="E57" s="34" t="s">
        <v>164</v>
      </c>
      <c r="F57" s="34"/>
      <c r="G57" s="34"/>
      <c r="H57" s="77"/>
      <c r="I57" s="15"/>
      <c r="J57" s="17" t="str">
        <f>IF(H57&gt;0,(H57*VLOOKUP(Lookups!$K$11,Lookups!$M$10:$P$43,4,0)/VLOOKUP(I57,Lookups!$M$10:$P$43,4,0)),"")</f>
        <v/>
      </c>
      <c r="K57" s="77">
        <v>122.66</v>
      </c>
      <c r="L57" s="15" t="s">
        <v>1520</v>
      </c>
      <c r="M57" s="17">
        <f>IF(K57&gt;0,(K57*VLOOKUP(Lookups!$K$11,Lookups!$M$10:$P$43,4,0)/VLOOKUP(L57,Lookups!$M$10:$P$43,4,0)),"")</f>
        <v>126.33035789624938</v>
      </c>
      <c r="N57" s="77"/>
      <c r="O57" s="15"/>
      <c r="P57" s="17" t="str">
        <f>IF(N57&gt;0,(N57*VLOOKUP(Lookups!$K$11,Lookups!$M$10:$P$43,4,0)/VLOOKUP(O57,Lookups!$M$10:$P$43,4,0)),"")</f>
        <v/>
      </c>
      <c r="Q57" s="82" t="s">
        <v>2537</v>
      </c>
      <c r="R57" s="15" t="s">
        <v>152</v>
      </c>
      <c r="S57" s="83" t="s">
        <v>2544</v>
      </c>
      <c r="T57" s="180" t="s">
        <v>923</v>
      </c>
      <c r="U57" s="34" t="s">
        <v>2535</v>
      </c>
    </row>
    <row r="58" spans="1:22" s="78" customFormat="1" ht="60" customHeight="1" collapsed="1" x14ac:dyDescent="0.25">
      <c r="A58" s="40" t="s">
        <v>179</v>
      </c>
      <c r="B58" s="40" t="s">
        <v>1749</v>
      </c>
      <c r="C58" s="40" t="s">
        <v>1821</v>
      </c>
      <c r="D58" s="40" t="s">
        <v>2563</v>
      </c>
      <c r="E58" s="34" t="s">
        <v>164</v>
      </c>
      <c r="F58" s="34"/>
      <c r="G58" s="34"/>
      <c r="H58" s="77"/>
      <c r="I58" s="15"/>
      <c r="J58" s="17" t="str">
        <f>IF(H58&gt;0,(H58*VLOOKUP(Lookups!$K$11,Lookups!$M$10:$P$43,4,0)/VLOOKUP(I58,Lookups!$M$10:$P$43,4,0)),"")</f>
        <v/>
      </c>
      <c r="K58" s="77">
        <v>133.31</v>
      </c>
      <c r="L58" s="15" t="s">
        <v>1520</v>
      </c>
      <c r="M58" s="17">
        <f>IF(K58&gt;0,(K58*VLOOKUP(Lookups!$K$11,Lookups!$M$10:$P$43,4,0)/VLOOKUP(L58,Lookups!$M$10:$P$43,4,0)),"")</f>
        <v>137.29903808208874</v>
      </c>
      <c r="N58" s="77"/>
      <c r="O58" s="15"/>
      <c r="P58" s="17" t="str">
        <f>IF(N58&gt;0,(N58*VLOOKUP(Lookups!$K$11,Lookups!$M$10:$P$43,4,0)/VLOOKUP(O58,Lookups!$M$10:$P$43,4,0)),"")</f>
        <v/>
      </c>
      <c r="Q58" s="82" t="s">
        <v>2562</v>
      </c>
      <c r="R58" s="15" t="s">
        <v>152</v>
      </c>
      <c r="S58" s="83" t="s">
        <v>2567</v>
      </c>
      <c r="T58" s="180" t="s">
        <v>923</v>
      </c>
      <c r="U58" s="34" t="s">
        <v>2535</v>
      </c>
      <c r="V58" s="163"/>
    </row>
    <row r="59" spans="1:22" s="78" customFormat="1" ht="60" hidden="1" customHeight="1" outlineLevel="1" x14ac:dyDescent="0.25">
      <c r="A59" s="42" t="s">
        <v>179</v>
      </c>
      <c r="B59" s="42" t="s">
        <v>1749</v>
      </c>
      <c r="C59" s="42" t="s">
        <v>1930</v>
      </c>
      <c r="D59" s="42" t="s">
        <v>2564</v>
      </c>
      <c r="E59" s="34" t="s">
        <v>164</v>
      </c>
      <c r="F59" s="34"/>
      <c r="G59" s="34"/>
      <c r="H59" s="77"/>
      <c r="I59" s="15"/>
      <c r="J59" s="17" t="str">
        <f>IF(H59&gt;0,(H59*VLOOKUP(Lookups!$K$11,Lookups!$M$10:$P$43,4,0)/VLOOKUP(I59,Lookups!$M$10:$P$43,4,0)),"")</f>
        <v/>
      </c>
      <c r="K59" s="77">
        <v>176.5</v>
      </c>
      <c r="L59" s="15" t="s">
        <v>1520</v>
      </c>
      <c r="M59" s="17">
        <f>IF(K59&gt;0,(K59*VLOOKUP(Lookups!$K$11,Lookups!$M$10:$P$43,4,0)/VLOOKUP(L59,Lookups!$M$10:$P$43,4,0)),"")</f>
        <v>181.78141340851144</v>
      </c>
      <c r="N59" s="77"/>
      <c r="O59" s="15"/>
      <c r="P59" s="17" t="str">
        <f>IF(N59&gt;0,(N59*VLOOKUP(Lookups!$K$11,Lookups!$M$10:$P$43,4,0)/VLOOKUP(O59,Lookups!$M$10:$P$43,4,0)),"")</f>
        <v/>
      </c>
      <c r="Q59" s="82" t="s">
        <v>2565</v>
      </c>
      <c r="R59" s="15" t="s">
        <v>152</v>
      </c>
      <c r="S59" s="83" t="s">
        <v>2566</v>
      </c>
      <c r="T59" s="180" t="s">
        <v>923</v>
      </c>
      <c r="U59" s="34" t="s">
        <v>2535</v>
      </c>
      <c r="V59" s="163"/>
    </row>
    <row r="60" spans="1:22" s="78" customFormat="1" ht="60" customHeight="1" collapsed="1" x14ac:dyDescent="0.25">
      <c r="A60" s="40" t="s">
        <v>179</v>
      </c>
      <c r="B60" s="40" t="s">
        <v>1749</v>
      </c>
      <c r="C60" s="40" t="s">
        <v>1822</v>
      </c>
      <c r="D60" s="40" t="s">
        <v>2568</v>
      </c>
      <c r="E60" s="34" t="s">
        <v>165</v>
      </c>
      <c r="F60" s="34"/>
      <c r="G60" s="34"/>
      <c r="H60" s="172"/>
      <c r="I60" s="15"/>
      <c r="J60" s="17" t="str">
        <f>IF(H60&gt;0,(H60*VLOOKUP(Lookups!$K$11,Lookups!$M$10:$P$43,4,0)/VLOOKUP(I60,Lookups!$M$10:$P$43,4,0)),"")</f>
        <v/>
      </c>
      <c r="K60" s="77">
        <v>926</v>
      </c>
      <c r="L60" s="15" t="s">
        <v>1521</v>
      </c>
      <c r="M60" s="17">
        <f>IF(K60&gt;0,(K60*VLOOKUP(Lookups!$K$11,Lookups!$M$10:$P$43,4,0)/VLOOKUP(L60,Lookups!$M$10:$P$43,4,0)),"")</f>
        <v>963.54446603898054</v>
      </c>
      <c r="N60" s="77"/>
      <c r="O60" s="15"/>
      <c r="P60" s="17" t="str">
        <f>IF(N60&gt;0,(N60*VLOOKUP(Lookups!$K$11,Lookups!$M$10:$P$43,4,0)/VLOOKUP(O60,Lookups!$M$10:$P$43,4,0)),"")</f>
        <v/>
      </c>
      <c r="Q60" s="173" t="s">
        <v>2569</v>
      </c>
      <c r="R60" s="15" t="s">
        <v>152</v>
      </c>
      <c r="S60" s="187" t="s">
        <v>2578</v>
      </c>
      <c r="T60" s="180" t="s">
        <v>923</v>
      </c>
      <c r="U60" s="34" t="s">
        <v>2535</v>
      </c>
    </row>
    <row r="61" spans="1:22" s="78" customFormat="1" ht="60" hidden="1" customHeight="1" outlineLevel="1" collapsed="1" x14ac:dyDescent="0.25">
      <c r="A61" s="42" t="s">
        <v>179</v>
      </c>
      <c r="B61" s="42" t="s">
        <v>1749</v>
      </c>
      <c r="C61" s="42" t="s">
        <v>2331</v>
      </c>
      <c r="D61" s="42" t="s">
        <v>2570</v>
      </c>
      <c r="E61" s="34" t="s">
        <v>165</v>
      </c>
      <c r="F61" s="34"/>
      <c r="G61" s="34"/>
      <c r="H61" s="172"/>
      <c r="I61" s="15"/>
      <c r="J61" s="17" t="str">
        <f>IF(H61&gt;0,(H61*VLOOKUP(Lookups!$K$11,Lookups!$M$10:$P$43,4,0)/VLOOKUP(I61,Lookups!$M$10:$P$43,4,0)),"")</f>
        <v/>
      </c>
      <c r="K61" s="77">
        <v>447</v>
      </c>
      <c r="L61" s="15" t="s">
        <v>1521</v>
      </c>
      <c r="M61" s="17">
        <f>IF(K61&gt;0,(K61*VLOOKUP(Lookups!$K$11,Lookups!$M$10:$P$43,4,0)/VLOOKUP(L61,Lookups!$M$10:$P$43,4,0)),"")</f>
        <v>465.12351654365477</v>
      </c>
      <c r="N61" s="77"/>
      <c r="O61" s="15"/>
      <c r="P61" s="17" t="str">
        <f>IF(N61&gt;0,(N61*VLOOKUP(Lookups!$K$11,Lookups!$M$10:$P$43,4,0)/VLOOKUP(O61,Lookups!$M$10:$P$43,4,0)),"")</f>
        <v/>
      </c>
      <c r="Q61" s="173" t="s">
        <v>2569</v>
      </c>
      <c r="R61" s="15" t="s">
        <v>152</v>
      </c>
      <c r="S61" s="107" t="s">
        <v>2579</v>
      </c>
      <c r="T61" s="180" t="s">
        <v>923</v>
      </c>
      <c r="U61" s="34" t="s">
        <v>2535</v>
      </c>
    </row>
    <row r="62" spans="1:22" s="78" customFormat="1" ht="60" hidden="1" customHeight="1" outlineLevel="1" collapsed="1" x14ac:dyDescent="0.25">
      <c r="A62" s="42" t="s">
        <v>179</v>
      </c>
      <c r="B62" s="42" t="s">
        <v>1749</v>
      </c>
      <c r="C62" s="42" t="s">
        <v>2332</v>
      </c>
      <c r="D62" s="42" t="s">
        <v>2571</v>
      </c>
      <c r="E62" s="34" t="s">
        <v>165</v>
      </c>
      <c r="F62" s="34"/>
      <c r="G62" s="34"/>
      <c r="H62" s="172"/>
      <c r="I62" s="15"/>
      <c r="J62" s="17" t="str">
        <f>IF(H62&gt;0,(H62*VLOOKUP(Lookups!$K$11,Lookups!$M$10:$P$43,4,0)/VLOOKUP(I62,Lookups!$M$10:$P$43,4,0)),"")</f>
        <v/>
      </c>
      <c r="K62" s="77">
        <v>675</v>
      </c>
      <c r="L62" s="15" t="s">
        <v>1521</v>
      </c>
      <c r="M62" s="17">
        <f>IF(K62&gt;0,(K62*VLOOKUP(Lookups!$K$11,Lookups!$M$10:$P$43,4,0)/VLOOKUP(L62,Lookups!$M$10:$P$43,4,0)),"")</f>
        <v>702.36772632431087</v>
      </c>
      <c r="N62" s="77"/>
      <c r="O62" s="15"/>
      <c r="P62" s="17" t="str">
        <f>IF(N62&gt;0,(N62*VLOOKUP(Lookups!$K$11,Lookups!$M$10:$P$43,4,0)/VLOOKUP(O62,Lookups!$M$10:$P$43,4,0)),"")</f>
        <v/>
      </c>
      <c r="Q62" s="173" t="s">
        <v>2569</v>
      </c>
      <c r="R62" s="15" t="s">
        <v>152</v>
      </c>
      <c r="S62" s="107" t="s">
        <v>2580</v>
      </c>
      <c r="T62" s="180" t="s">
        <v>923</v>
      </c>
      <c r="U62" s="34" t="s">
        <v>2535</v>
      </c>
    </row>
    <row r="63" spans="1:22" s="78" customFormat="1" ht="60" hidden="1" customHeight="1" outlineLevel="1" collapsed="1" x14ac:dyDescent="0.25">
      <c r="A63" s="42" t="s">
        <v>179</v>
      </c>
      <c r="B63" s="42" t="s">
        <v>1749</v>
      </c>
      <c r="C63" s="42" t="s">
        <v>2333</v>
      </c>
      <c r="D63" s="42" t="s">
        <v>2572</v>
      </c>
      <c r="E63" s="34" t="s">
        <v>165</v>
      </c>
      <c r="F63" s="34"/>
      <c r="G63" s="34"/>
      <c r="H63" s="172"/>
      <c r="I63" s="15"/>
      <c r="J63" s="17" t="str">
        <f>IF(H63&gt;0,(H63*VLOOKUP(Lookups!$K$11,Lookups!$M$10:$P$43,4,0)/VLOOKUP(I63,Lookups!$M$10:$P$43,4,0)),"")</f>
        <v/>
      </c>
      <c r="K63" s="77">
        <v>776</v>
      </c>
      <c r="L63" s="15" t="s">
        <v>1521</v>
      </c>
      <c r="M63" s="17">
        <f>IF(K63&gt;0,(K63*VLOOKUP(Lookups!$K$11,Lookups!$M$10:$P$43,4,0)/VLOOKUP(L63,Lookups!$M$10:$P$43,4,0)),"")</f>
        <v>807.46274907802263</v>
      </c>
      <c r="N63" s="77"/>
      <c r="O63" s="15"/>
      <c r="P63" s="17" t="str">
        <f>IF(N63&gt;0,(N63*VLOOKUP(Lookups!$K$11,Lookups!$M$10:$P$43,4,0)/VLOOKUP(O63,Lookups!$M$10:$P$43,4,0)),"")</f>
        <v/>
      </c>
      <c r="Q63" s="173" t="s">
        <v>2569</v>
      </c>
      <c r="R63" s="15" t="s">
        <v>152</v>
      </c>
      <c r="S63" s="107" t="s">
        <v>2581</v>
      </c>
      <c r="T63" s="180" t="s">
        <v>923</v>
      </c>
      <c r="U63" s="34" t="s">
        <v>2535</v>
      </c>
    </row>
    <row r="64" spans="1:22" s="78" customFormat="1" ht="60" hidden="1" customHeight="1" outlineLevel="1" collapsed="1" x14ac:dyDescent="0.25">
      <c r="A64" s="42" t="s">
        <v>179</v>
      </c>
      <c r="B64" s="42" t="s">
        <v>1749</v>
      </c>
      <c r="C64" s="42" t="s">
        <v>2334</v>
      </c>
      <c r="D64" s="42" t="s">
        <v>2573</v>
      </c>
      <c r="E64" s="34" t="s">
        <v>165</v>
      </c>
      <c r="F64" s="34"/>
      <c r="G64" s="34"/>
      <c r="H64" s="172"/>
      <c r="I64" s="15"/>
      <c r="J64" s="17" t="str">
        <f>IF(H64&gt;0,(H64*VLOOKUP(Lookups!$K$11,Lookups!$M$10:$P$43,4,0)/VLOOKUP(I64,Lookups!$M$10:$P$43,4,0)),"")</f>
        <v/>
      </c>
      <c r="K64" s="77">
        <v>869</v>
      </c>
      <c r="L64" s="15" t="s">
        <v>1521</v>
      </c>
      <c r="M64" s="17">
        <f>IF(K64&gt;0,(K64*VLOOKUP(Lookups!$K$11,Lookups!$M$10:$P$43,4,0)/VLOOKUP(L64,Lookups!$M$10:$P$43,4,0)),"")</f>
        <v>904.23341359381641</v>
      </c>
      <c r="N64" s="77"/>
      <c r="O64" s="15"/>
      <c r="P64" s="17" t="str">
        <f>IF(N64&gt;0,(N64*VLOOKUP(Lookups!$K$11,Lookups!$M$10:$P$43,4,0)/VLOOKUP(O64,Lookups!$M$10:$P$43,4,0)),"")</f>
        <v/>
      </c>
      <c r="Q64" s="173" t="s">
        <v>2569</v>
      </c>
      <c r="R64" s="15" t="s">
        <v>152</v>
      </c>
      <c r="S64" s="107" t="s">
        <v>2582</v>
      </c>
      <c r="T64" s="180" t="s">
        <v>923</v>
      </c>
      <c r="U64" s="34" t="s">
        <v>2535</v>
      </c>
    </row>
    <row r="65" spans="1:21" s="78" customFormat="1" ht="60" hidden="1" customHeight="1" outlineLevel="1" collapsed="1" x14ac:dyDescent="0.25">
      <c r="A65" s="42" t="s">
        <v>179</v>
      </c>
      <c r="B65" s="42" t="s">
        <v>1749</v>
      </c>
      <c r="C65" s="42" t="s">
        <v>2335</v>
      </c>
      <c r="D65" s="42" t="s">
        <v>2574</v>
      </c>
      <c r="E65" s="34" t="s">
        <v>165</v>
      </c>
      <c r="F65" s="34"/>
      <c r="G65" s="34"/>
      <c r="H65" s="172"/>
      <c r="I65" s="15"/>
      <c r="J65" s="17" t="str">
        <f>IF(H65&gt;0,(H65*VLOOKUP(Lookups!$K$11,Lookups!$M$10:$P$43,4,0)/VLOOKUP(I65,Lookups!$M$10:$P$43,4,0)),"")</f>
        <v/>
      </c>
      <c r="K65" s="77">
        <v>996</v>
      </c>
      <c r="L65" s="15" t="s">
        <v>1521</v>
      </c>
      <c r="M65" s="17">
        <f>IF(K65&gt;0,(K65*VLOOKUP(Lookups!$K$11,Lookups!$M$10:$P$43,4,0)/VLOOKUP(L65,Lookups!$M$10:$P$43,4,0)),"")</f>
        <v>1036.382600620761</v>
      </c>
      <c r="N65" s="77"/>
      <c r="O65" s="15"/>
      <c r="P65" s="17" t="str">
        <f>IF(N65&gt;0,(N65*VLOOKUP(Lookups!$K$11,Lookups!$M$10:$P$43,4,0)/VLOOKUP(O65,Lookups!$M$10:$P$43,4,0)),"")</f>
        <v/>
      </c>
      <c r="Q65" s="173" t="s">
        <v>2569</v>
      </c>
      <c r="R65" s="15" t="s">
        <v>152</v>
      </c>
      <c r="S65" s="107" t="s">
        <v>2577</v>
      </c>
      <c r="T65" s="180" t="s">
        <v>923</v>
      </c>
      <c r="U65" s="34" t="s">
        <v>2535</v>
      </c>
    </row>
    <row r="66" spans="1:21" s="78" customFormat="1" ht="60" hidden="1" customHeight="1" outlineLevel="1" collapsed="1" x14ac:dyDescent="0.25">
      <c r="A66" s="42" t="s">
        <v>179</v>
      </c>
      <c r="B66" s="42" t="s">
        <v>1749</v>
      </c>
      <c r="C66" s="42" t="s">
        <v>2336</v>
      </c>
      <c r="D66" s="42" t="s">
        <v>2575</v>
      </c>
      <c r="E66" s="34" t="s">
        <v>165</v>
      </c>
      <c r="F66" s="34"/>
      <c r="G66" s="34"/>
      <c r="H66" s="172"/>
      <c r="I66" s="15"/>
      <c r="J66" s="17" t="str">
        <f>IF(H66&gt;0,(H66*VLOOKUP(Lookups!$K$11,Lookups!$M$10:$P$43,4,0)/VLOOKUP(I66,Lookups!$M$10:$P$43,4,0)),"")</f>
        <v/>
      </c>
      <c r="K66" s="77">
        <v>1705</v>
      </c>
      <c r="L66" s="15" t="s">
        <v>1521</v>
      </c>
      <c r="M66" s="17">
        <f>IF(K66&gt;0,(K66*VLOOKUP(Lookups!$K$11,Lookups!$M$10:$P$43,4,0)/VLOOKUP(L66,Lookups!$M$10:$P$43,4,0)),"")</f>
        <v>1774.1288494562223</v>
      </c>
      <c r="N66" s="77"/>
      <c r="O66" s="15"/>
      <c r="P66" s="17" t="str">
        <f>IF(N66&gt;0,(N66*VLOOKUP(Lookups!$K$11,Lookups!$M$10:$P$43,4,0)/VLOOKUP(O66,Lookups!$M$10:$P$43,4,0)),"")</f>
        <v/>
      </c>
      <c r="Q66" s="173" t="s">
        <v>2569</v>
      </c>
      <c r="R66" s="15" t="s">
        <v>152</v>
      </c>
      <c r="S66" s="107" t="s">
        <v>2576</v>
      </c>
      <c r="T66" s="180" t="s">
        <v>923</v>
      </c>
      <c r="U66" s="34" t="s">
        <v>2535</v>
      </c>
    </row>
    <row r="67" spans="1:21" s="78" customFormat="1" ht="60" customHeight="1" collapsed="1" x14ac:dyDescent="0.25">
      <c r="A67" s="40" t="s">
        <v>179</v>
      </c>
      <c r="B67" s="40" t="s">
        <v>1749</v>
      </c>
      <c r="C67" s="40" t="s">
        <v>1931</v>
      </c>
      <c r="D67" s="40" t="s">
        <v>2545</v>
      </c>
      <c r="E67" s="34" t="s">
        <v>164</v>
      </c>
      <c r="F67" s="34"/>
      <c r="G67" s="34"/>
      <c r="H67" s="77"/>
      <c r="I67" s="15"/>
      <c r="J67" s="17" t="str">
        <f>IF(H67&gt;0,(H67*VLOOKUP(Lookups!$K$11,Lookups!$M$10:$P$43,4,0)/VLOOKUP(I67,Lookups!$M$10:$P$43,4,0)),"")</f>
        <v/>
      </c>
      <c r="K67" s="77">
        <v>93.69</v>
      </c>
      <c r="L67" s="15" t="s">
        <v>1520</v>
      </c>
      <c r="M67" s="17">
        <f>IF(K67&gt;0,(K67*VLOOKUP(Lookups!$K$11,Lookups!$M$10:$P$43,4,0)/VLOOKUP(L67,Lookups!$M$10:$P$43,4,0)),"")</f>
        <v>96.493487944722034</v>
      </c>
      <c r="N67" s="77"/>
      <c r="O67" s="15"/>
      <c r="P67" s="17" t="str">
        <f>IF(N67&gt;0,(N67*VLOOKUP(Lookups!$K$11,Lookups!$M$10:$P$43,4,0)/VLOOKUP(O67,Lookups!$M$10:$P$43,4,0)),"")</f>
        <v/>
      </c>
      <c r="Q67" s="82" t="s">
        <v>2546</v>
      </c>
      <c r="R67" s="15" t="s">
        <v>152</v>
      </c>
      <c r="S67" s="83" t="s">
        <v>2551</v>
      </c>
      <c r="T67" s="180" t="s">
        <v>923</v>
      </c>
      <c r="U67" s="34" t="s">
        <v>2535</v>
      </c>
    </row>
    <row r="68" spans="1:21" s="78" customFormat="1" ht="60" hidden="1" customHeight="1" outlineLevel="1" collapsed="1" x14ac:dyDescent="0.25">
      <c r="A68" s="42" t="s">
        <v>179</v>
      </c>
      <c r="B68" s="42" t="s">
        <v>1749</v>
      </c>
      <c r="C68" s="42" t="s">
        <v>2595</v>
      </c>
      <c r="D68" s="42" t="s">
        <v>2552</v>
      </c>
      <c r="E68" s="34" t="s">
        <v>164</v>
      </c>
      <c r="F68" s="34"/>
      <c r="G68" s="34"/>
      <c r="H68" s="77"/>
      <c r="I68" s="15"/>
      <c r="J68" s="17" t="str">
        <f>IF(H68&gt;0,(H68*VLOOKUP(Lookups!$K$11,Lookups!$M$10:$P$43,4,0)/VLOOKUP(I68,Lookups!$M$10:$P$43,4,0)),"")</f>
        <v/>
      </c>
      <c r="K68" s="77">
        <v>102.53</v>
      </c>
      <c r="L68" s="15" t="s">
        <v>1520</v>
      </c>
      <c r="M68" s="17">
        <f>IF(K68&gt;0,(K68*VLOOKUP(Lookups!$K$11,Lookups!$M$10:$P$43,4,0)/VLOOKUP(L68,Lookups!$M$10:$P$43,4,0)),"")</f>
        <v>105.59800746047978</v>
      </c>
      <c r="N68" s="77"/>
      <c r="O68" s="15"/>
      <c r="P68" s="17" t="str">
        <f>IF(N68&gt;0,(N68*VLOOKUP(Lookups!$K$11,Lookups!$M$10:$P$43,4,0)/VLOOKUP(O68,Lookups!$M$10:$P$43,4,0)),"")</f>
        <v/>
      </c>
      <c r="Q68" s="82" t="s">
        <v>2546</v>
      </c>
      <c r="R68" s="15" t="s">
        <v>152</v>
      </c>
      <c r="S68" s="83" t="s">
        <v>2553</v>
      </c>
      <c r="T68" s="180" t="s">
        <v>923</v>
      </c>
      <c r="U68" s="34" t="s">
        <v>2535</v>
      </c>
    </row>
    <row r="69" spans="1:21" s="78" customFormat="1" ht="60" hidden="1" customHeight="1" outlineLevel="1" collapsed="1" x14ac:dyDescent="0.25">
      <c r="A69" s="42" t="s">
        <v>179</v>
      </c>
      <c r="B69" s="42" t="s">
        <v>1749</v>
      </c>
      <c r="C69" s="42" t="s">
        <v>2596</v>
      </c>
      <c r="D69" s="42" t="s">
        <v>2554</v>
      </c>
      <c r="E69" s="34" t="s">
        <v>164</v>
      </c>
      <c r="F69" s="34"/>
      <c r="G69" s="34"/>
      <c r="H69" s="77"/>
      <c r="I69" s="15"/>
      <c r="J69" s="17" t="str">
        <f>IF(H69&gt;0,(H69*VLOOKUP(Lookups!$K$11,Lookups!$M$10:$P$43,4,0)/VLOOKUP(I69,Lookups!$M$10:$P$43,4,0)),"")</f>
        <v/>
      </c>
      <c r="K69" s="77">
        <v>83.08</v>
      </c>
      <c r="L69" s="15" t="s">
        <v>1520</v>
      </c>
      <c r="M69" s="17">
        <f>IF(K69&gt;0,(K69*VLOOKUP(Lookups!$K$11,Lookups!$M$10:$P$43,4,0)/VLOOKUP(L69,Lookups!$M$10:$P$43,4,0)),"")</f>
        <v>85.566004679768454</v>
      </c>
      <c r="N69" s="77"/>
      <c r="O69" s="15"/>
      <c r="P69" s="17" t="str">
        <f>IF(N69&gt;0,(N69*VLOOKUP(Lookups!$K$11,Lookups!$M$10:$P$43,4,0)/VLOOKUP(O69,Lookups!$M$10:$P$43,4,0)),"")</f>
        <v/>
      </c>
      <c r="Q69" s="82" t="s">
        <v>2546</v>
      </c>
      <c r="R69" s="15" t="s">
        <v>152</v>
      </c>
      <c r="S69" s="83" t="s">
        <v>2555</v>
      </c>
      <c r="T69" s="180" t="s">
        <v>923</v>
      </c>
      <c r="U69" s="34" t="s">
        <v>2535</v>
      </c>
    </row>
    <row r="70" spans="1:21" s="78" customFormat="1" ht="60" hidden="1" customHeight="1" outlineLevel="1" collapsed="1" x14ac:dyDescent="0.25">
      <c r="A70" s="42" t="s">
        <v>179</v>
      </c>
      <c r="B70" s="42" t="s">
        <v>1749</v>
      </c>
      <c r="C70" s="42" t="s">
        <v>2597</v>
      </c>
      <c r="D70" s="42" t="s">
        <v>2556</v>
      </c>
      <c r="E70" s="34" t="s">
        <v>164</v>
      </c>
      <c r="F70" s="34"/>
      <c r="G70" s="34"/>
      <c r="H70" s="77"/>
      <c r="I70" s="15"/>
      <c r="J70" s="17" t="str">
        <f>IF(H70&gt;0,(H70*VLOOKUP(Lookups!$K$11,Lookups!$M$10:$P$43,4,0)/VLOOKUP(I70,Lookups!$M$10:$P$43,4,0)),"")</f>
        <v/>
      </c>
      <c r="K70" s="77">
        <v>91.37</v>
      </c>
      <c r="L70" s="15" t="s">
        <v>1520</v>
      </c>
      <c r="M70" s="17">
        <f>IF(K70&gt;0,(K70*VLOOKUP(Lookups!$K$11,Lookups!$M$10:$P$43,4,0)/VLOOKUP(L70,Lookups!$M$10:$P$43,4,0)),"")</f>
        <v>94.104066533346696</v>
      </c>
      <c r="N70" s="77"/>
      <c r="O70" s="15"/>
      <c r="P70" s="17" t="str">
        <f>IF(N70&gt;0,(N70*VLOOKUP(Lookups!$K$11,Lookups!$M$10:$P$43,4,0)/VLOOKUP(O70,Lookups!$M$10:$P$43,4,0)),"")</f>
        <v/>
      </c>
      <c r="Q70" s="82" t="s">
        <v>2546</v>
      </c>
      <c r="R70" s="15" t="s">
        <v>152</v>
      </c>
      <c r="S70" s="83" t="s">
        <v>2557</v>
      </c>
      <c r="T70" s="180" t="s">
        <v>923</v>
      </c>
      <c r="U70" s="34" t="s">
        <v>2535</v>
      </c>
    </row>
    <row r="71" spans="1:21" s="78" customFormat="1" ht="60" hidden="1" customHeight="1" outlineLevel="1" collapsed="1" x14ac:dyDescent="0.25">
      <c r="A71" s="42" t="s">
        <v>179</v>
      </c>
      <c r="B71" s="42" t="s">
        <v>1749</v>
      </c>
      <c r="C71" s="42" t="s">
        <v>2598</v>
      </c>
      <c r="D71" s="42" t="s">
        <v>2558</v>
      </c>
      <c r="E71" s="34" t="s">
        <v>164</v>
      </c>
      <c r="F71" s="34"/>
      <c r="G71" s="34"/>
      <c r="H71" s="77"/>
      <c r="I71" s="15"/>
      <c r="J71" s="17" t="str">
        <f>IF(H71&gt;0,(H71*VLOOKUP(Lookups!$K$11,Lookups!$M$10:$P$43,4,0)/VLOOKUP(I71,Lookups!$M$10:$P$43,4,0)),"")</f>
        <v/>
      </c>
      <c r="K71" s="77">
        <v>100.55</v>
      </c>
      <c r="L71" s="15" t="s">
        <v>1520</v>
      </c>
      <c r="M71" s="17">
        <f>IF(K71&gt;0,(K71*VLOOKUP(Lookups!$K$11,Lookups!$M$10:$P$43,4,0)/VLOOKUP(L71,Lookups!$M$10:$P$43,4,0)),"")</f>
        <v>103.55875987663359</v>
      </c>
      <c r="N71" s="77"/>
      <c r="O71" s="15"/>
      <c r="P71" s="17" t="str">
        <f>IF(N71&gt;0,(N71*VLOOKUP(Lookups!$K$11,Lookups!$M$10:$P$43,4,0)/VLOOKUP(O71,Lookups!$M$10:$P$43,4,0)),"")</f>
        <v/>
      </c>
      <c r="Q71" s="82" t="s">
        <v>2546</v>
      </c>
      <c r="R71" s="15" t="s">
        <v>152</v>
      </c>
      <c r="S71" s="83" t="s">
        <v>2559</v>
      </c>
      <c r="T71" s="180" t="s">
        <v>923</v>
      </c>
      <c r="U71" s="34" t="s">
        <v>2535</v>
      </c>
    </row>
    <row r="72" spans="1:21" s="78" customFormat="1" ht="60" hidden="1" customHeight="1" outlineLevel="1" collapsed="1" x14ac:dyDescent="0.25">
      <c r="A72" s="42" t="s">
        <v>179</v>
      </c>
      <c r="B72" s="42" t="s">
        <v>1749</v>
      </c>
      <c r="C72" s="42" t="s">
        <v>2599</v>
      </c>
      <c r="D72" s="42" t="s">
        <v>2560</v>
      </c>
      <c r="E72" s="34" t="s">
        <v>164</v>
      </c>
      <c r="F72" s="34"/>
      <c r="G72" s="34"/>
      <c r="H72" s="77"/>
      <c r="I72" s="15"/>
      <c r="J72" s="17" t="str">
        <f>IF(H72&gt;0,(H72*VLOOKUP(Lookups!$K$11,Lookups!$M$10:$P$43,4,0)/VLOOKUP(I72,Lookups!$M$10:$P$43,4,0)),"")</f>
        <v/>
      </c>
      <c r="K72" s="77">
        <v>113.86</v>
      </c>
      <c r="L72" s="15" t="s">
        <v>1520</v>
      </c>
      <c r="M72" s="17">
        <f>IF(K72&gt;0,(K72*VLOOKUP(Lookups!$K$11,Lookups!$M$10:$P$43,4,0)/VLOOKUP(L72,Lookups!$M$10:$P$43,4,0)),"")</f>
        <v>117.26703530137742</v>
      </c>
      <c r="N72" s="77"/>
      <c r="O72" s="15"/>
      <c r="P72" s="17" t="str">
        <f>IF(N72&gt;0,(N72*VLOOKUP(Lookups!$K$11,Lookups!$M$10:$P$43,4,0)/VLOOKUP(O72,Lookups!$M$10:$P$43,4,0)),"")</f>
        <v/>
      </c>
      <c r="Q72" s="82" t="s">
        <v>2546</v>
      </c>
      <c r="R72" s="15" t="s">
        <v>152</v>
      </c>
      <c r="S72" s="83" t="s">
        <v>2561</v>
      </c>
      <c r="T72" s="180" t="s">
        <v>923</v>
      </c>
      <c r="U72" s="34" t="s">
        <v>2535</v>
      </c>
    </row>
    <row r="73" spans="1:21" s="78" customFormat="1" ht="60" customHeight="1" x14ac:dyDescent="0.25">
      <c r="A73" s="40" t="s">
        <v>179</v>
      </c>
      <c r="B73" s="40" t="s">
        <v>1818</v>
      </c>
      <c r="C73" s="40" t="s">
        <v>2600</v>
      </c>
      <c r="D73" s="40" t="s">
        <v>2583</v>
      </c>
      <c r="E73" s="34" t="s">
        <v>167</v>
      </c>
      <c r="F73" s="34" t="s">
        <v>210</v>
      </c>
      <c r="G73" s="34" t="s">
        <v>2584</v>
      </c>
      <c r="H73" s="77">
        <v>3730</v>
      </c>
      <c r="I73" s="15" t="s">
        <v>1520</v>
      </c>
      <c r="J73" s="17">
        <f>IF(H73&gt;0,(H73*VLOOKUP(Lookups!$K$11,Lookups!$M$10:$P$43,4,0)/VLOOKUP(I73,Lookups!$M$10:$P$43,4,0)),"")</f>
        <v>3841.6128725991371</v>
      </c>
      <c r="K73" s="77"/>
      <c r="L73" s="15"/>
      <c r="M73" s="17" t="str">
        <f>IF(K73&gt;0,(K73*VLOOKUP(Lookups!$K$11,Lookups!$M$10:$P$43,4,0)/VLOOKUP(L73,Lookups!$M$10:$P$43,4,0)),"")</f>
        <v/>
      </c>
      <c r="N73" s="77"/>
      <c r="O73" s="15"/>
      <c r="P73" s="17" t="str">
        <f>IF(N73&gt;0,(N73*VLOOKUP(Lookups!$K$11,Lookups!$M$10:$P$43,4,0)/VLOOKUP(O73,Lookups!$M$10:$P$43,4,0)),"")</f>
        <v/>
      </c>
      <c r="Q73" s="82" t="s">
        <v>2585</v>
      </c>
      <c r="R73" s="15" t="s">
        <v>154</v>
      </c>
      <c r="S73" s="83" t="s">
        <v>2586</v>
      </c>
      <c r="T73" s="180" t="s">
        <v>923</v>
      </c>
      <c r="U73" s="34" t="s">
        <v>2407</v>
      </c>
    </row>
    <row r="74" spans="1:21" ht="27.75" customHeight="1" x14ac:dyDescent="0.25">
      <c r="D74" s="69"/>
      <c r="U74" s="178"/>
    </row>
    <row r="75" spans="1:21" x14ac:dyDescent="0.25">
      <c r="D75" s="69"/>
    </row>
    <row r="76" spans="1:21" x14ac:dyDescent="0.25">
      <c r="D76" s="69"/>
    </row>
    <row r="77" spans="1:21" x14ac:dyDescent="0.25">
      <c r="D77" s="69"/>
      <c r="T77" s="68"/>
    </row>
    <row r="78" spans="1:21" x14ac:dyDescent="0.25">
      <c r="D78" s="69"/>
      <c r="T78" s="68"/>
    </row>
    <row r="79" spans="1:21" x14ac:dyDescent="0.25">
      <c r="D79" s="69"/>
      <c r="T79" s="68"/>
    </row>
    <row r="80" spans="1:21" x14ac:dyDescent="0.25">
      <c r="D80" s="69"/>
      <c r="T80" s="68"/>
    </row>
    <row r="81" spans="4:20" x14ac:dyDescent="0.25">
      <c r="D81" s="69"/>
      <c r="T81" s="68"/>
    </row>
    <row r="82" spans="4:20" x14ac:dyDescent="0.25">
      <c r="D82" s="69"/>
      <c r="T82" s="68"/>
    </row>
    <row r="83" spans="4:20" x14ac:dyDescent="0.25">
      <c r="D83" s="69"/>
      <c r="T83" s="68"/>
    </row>
    <row r="84" spans="4:20" x14ac:dyDescent="0.25">
      <c r="D84" s="69"/>
      <c r="T84" s="68"/>
    </row>
    <row r="85" spans="4:20" x14ac:dyDescent="0.25">
      <c r="D85" s="69"/>
      <c r="T85" s="68"/>
    </row>
    <row r="86" spans="4:20" x14ac:dyDescent="0.25">
      <c r="D86" s="69"/>
      <c r="T86" s="68"/>
    </row>
    <row r="87" spans="4:20" x14ac:dyDescent="0.25">
      <c r="D87" s="69"/>
      <c r="T87" s="68"/>
    </row>
    <row r="88" spans="4:20" x14ac:dyDescent="0.25">
      <c r="D88" s="69"/>
      <c r="T88" s="68"/>
    </row>
    <row r="89" spans="4:20" x14ac:dyDescent="0.25">
      <c r="D89" s="69"/>
      <c r="T89" s="68"/>
    </row>
    <row r="90" spans="4:20" x14ac:dyDescent="0.25">
      <c r="D90" s="69"/>
      <c r="T90" s="68"/>
    </row>
    <row r="91" spans="4:20" x14ac:dyDescent="0.25">
      <c r="D91" s="69"/>
      <c r="T91" s="68"/>
    </row>
    <row r="92" spans="4:20" x14ac:dyDescent="0.25">
      <c r="D92" s="69"/>
      <c r="T92" s="68"/>
    </row>
    <row r="93" spans="4:20" x14ac:dyDescent="0.25">
      <c r="D93" s="69"/>
      <c r="T93" s="68"/>
    </row>
    <row r="94" spans="4:20" x14ac:dyDescent="0.25">
      <c r="D94" s="69"/>
      <c r="T94" s="68"/>
    </row>
    <row r="95" spans="4:20" x14ac:dyDescent="0.25">
      <c r="D95" s="69"/>
      <c r="T95" s="68"/>
    </row>
    <row r="96" spans="4:20" x14ac:dyDescent="0.25">
      <c r="D96" s="69"/>
      <c r="T96" s="68"/>
    </row>
    <row r="97" spans="4:20" x14ac:dyDescent="0.25">
      <c r="D97" s="69"/>
      <c r="T97" s="68"/>
    </row>
    <row r="98" spans="4:20" x14ac:dyDescent="0.25">
      <c r="D98" s="69"/>
      <c r="T98" s="68"/>
    </row>
    <row r="99" spans="4:20" x14ac:dyDescent="0.25">
      <c r="D99" s="69"/>
      <c r="T99" s="68"/>
    </row>
    <row r="100" spans="4:20" x14ac:dyDescent="0.25">
      <c r="D100" s="69"/>
      <c r="T100" s="68"/>
    </row>
    <row r="101" spans="4:20" x14ac:dyDescent="0.25">
      <c r="D101" s="69"/>
      <c r="T101" s="68"/>
    </row>
    <row r="102" spans="4:20" x14ac:dyDescent="0.25">
      <c r="D102" s="69"/>
      <c r="T102" s="68"/>
    </row>
    <row r="103" spans="4:20" x14ac:dyDescent="0.25">
      <c r="D103" s="69"/>
      <c r="T103" s="68"/>
    </row>
    <row r="104" spans="4:20" x14ac:dyDescent="0.25">
      <c r="D104" s="69"/>
      <c r="T104" s="68"/>
    </row>
    <row r="105" spans="4:20" x14ac:dyDescent="0.25">
      <c r="D105" s="69"/>
      <c r="T105" s="68"/>
    </row>
    <row r="106" spans="4:20" x14ac:dyDescent="0.25">
      <c r="D106" s="69"/>
      <c r="T106" s="68"/>
    </row>
    <row r="107" spans="4:20" x14ac:dyDescent="0.25">
      <c r="D107" s="69"/>
      <c r="T107" s="68"/>
    </row>
    <row r="108" spans="4:20" x14ac:dyDescent="0.25">
      <c r="D108" s="69"/>
      <c r="T108" s="68"/>
    </row>
    <row r="109" spans="4:20" x14ac:dyDescent="0.25">
      <c r="D109" s="69"/>
      <c r="T109" s="68"/>
    </row>
    <row r="110" spans="4:20" x14ac:dyDescent="0.25">
      <c r="D110" s="69"/>
      <c r="T110" s="68"/>
    </row>
    <row r="111" spans="4:20" x14ac:dyDescent="0.25">
      <c r="D111" s="69"/>
      <c r="T111" s="68"/>
    </row>
    <row r="112" spans="4:20" x14ac:dyDescent="0.25">
      <c r="D112" s="69"/>
      <c r="T112" s="68"/>
    </row>
    <row r="113" spans="4:20" x14ac:dyDescent="0.25">
      <c r="D113" s="69"/>
      <c r="T113" s="68"/>
    </row>
    <row r="114" spans="4:20" x14ac:dyDescent="0.25">
      <c r="D114" s="69"/>
      <c r="T114" s="68"/>
    </row>
    <row r="115" spans="4:20" x14ac:dyDescent="0.25">
      <c r="D115" s="69"/>
      <c r="T115" s="68"/>
    </row>
    <row r="116" spans="4:20" x14ac:dyDescent="0.25">
      <c r="D116" s="69"/>
      <c r="T116" s="68"/>
    </row>
    <row r="117" spans="4:20" x14ac:dyDescent="0.25">
      <c r="D117" s="69"/>
      <c r="T117" s="68"/>
    </row>
    <row r="118" spans="4:20" x14ac:dyDescent="0.25">
      <c r="D118" s="69"/>
      <c r="T118" s="68"/>
    </row>
    <row r="119" spans="4:20" x14ac:dyDescent="0.25">
      <c r="D119" s="69"/>
      <c r="T119" s="68"/>
    </row>
    <row r="120" spans="4:20" x14ac:dyDescent="0.25">
      <c r="D120" s="69"/>
      <c r="T120" s="68"/>
    </row>
    <row r="121" spans="4:20" x14ac:dyDescent="0.25">
      <c r="D121" s="69"/>
      <c r="T121" s="68"/>
    </row>
    <row r="122" spans="4:20" x14ac:dyDescent="0.25">
      <c r="D122" s="69"/>
      <c r="T122" s="68"/>
    </row>
    <row r="123" spans="4:20" x14ac:dyDescent="0.25">
      <c r="D123" s="69"/>
      <c r="T123" s="68"/>
    </row>
    <row r="124" spans="4:20" x14ac:dyDescent="0.25">
      <c r="D124" s="69"/>
      <c r="T124" s="68"/>
    </row>
    <row r="125" spans="4:20" x14ac:dyDescent="0.25">
      <c r="D125" s="69"/>
      <c r="T125" s="68"/>
    </row>
    <row r="126" spans="4:20" x14ac:dyDescent="0.25">
      <c r="D126" s="69"/>
      <c r="T126" s="68"/>
    </row>
    <row r="127" spans="4:20" x14ac:dyDescent="0.25">
      <c r="D127" s="69"/>
      <c r="T127" s="68"/>
    </row>
    <row r="128" spans="4:20" x14ac:dyDescent="0.25">
      <c r="D128" s="69"/>
      <c r="T128" s="68"/>
    </row>
    <row r="129" spans="4:20" x14ac:dyDescent="0.25">
      <c r="D129" s="69"/>
      <c r="T129" s="68"/>
    </row>
    <row r="130" spans="4:20" x14ac:dyDescent="0.25">
      <c r="D130" s="69"/>
      <c r="T130" s="68"/>
    </row>
    <row r="131" spans="4:20" x14ac:dyDescent="0.25">
      <c r="D131" s="69"/>
      <c r="T131" s="68"/>
    </row>
    <row r="132" spans="4:20" x14ac:dyDescent="0.25">
      <c r="D132" s="69"/>
      <c r="T132" s="68"/>
    </row>
    <row r="133" spans="4:20" x14ac:dyDescent="0.25">
      <c r="D133" s="69"/>
      <c r="T133" s="68"/>
    </row>
    <row r="134" spans="4:20" x14ac:dyDescent="0.25">
      <c r="D134" s="69"/>
      <c r="T134" s="68"/>
    </row>
    <row r="135" spans="4:20" x14ac:dyDescent="0.25">
      <c r="D135" s="69"/>
      <c r="T135" s="68"/>
    </row>
    <row r="136" spans="4:20" x14ac:dyDescent="0.25">
      <c r="D136" s="69"/>
      <c r="T136" s="68"/>
    </row>
    <row r="137" spans="4:20" x14ac:dyDescent="0.25">
      <c r="D137" s="69"/>
      <c r="T137" s="68"/>
    </row>
    <row r="138" spans="4:20" x14ac:dyDescent="0.25">
      <c r="D138" s="69"/>
      <c r="T138" s="68"/>
    </row>
    <row r="139" spans="4:20" x14ac:dyDescent="0.25">
      <c r="D139" s="69"/>
      <c r="T139" s="68"/>
    </row>
    <row r="140" spans="4:20" x14ac:dyDescent="0.25">
      <c r="D140" s="69"/>
      <c r="T140" s="68"/>
    </row>
    <row r="141" spans="4:20" x14ac:dyDescent="0.25">
      <c r="D141" s="69"/>
      <c r="T141" s="68"/>
    </row>
    <row r="142" spans="4:20" x14ac:dyDescent="0.25">
      <c r="D142" s="69"/>
      <c r="T142" s="68"/>
    </row>
    <row r="143" spans="4:20" x14ac:dyDescent="0.25">
      <c r="D143" s="69"/>
      <c r="T143" s="68"/>
    </row>
    <row r="144" spans="4:20" x14ac:dyDescent="0.25">
      <c r="D144" s="69"/>
      <c r="T144" s="68"/>
    </row>
  </sheetData>
  <sheetProtection sheet="1" objects="1" scenarios="1" formatColumns="0" formatRows="0"/>
  <mergeCells count="5">
    <mergeCell ref="H1:J1"/>
    <mergeCell ref="K1:M1"/>
    <mergeCell ref="T1:U1"/>
    <mergeCell ref="N1:P1"/>
    <mergeCell ref="F1:G1"/>
  </mergeCells>
  <phoneticPr fontId="6" type="noConversion"/>
  <dataValidations count="7">
    <dataValidation type="list" allowBlank="1" showInputMessage="1" showErrorMessage="1" sqref="I3:I73 O3:O73 L3:L73" xr:uid="{00000000-0002-0000-0700-000003000000}">
      <formula1>Year</formula1>
    </dataValidation>
    <dataValidation type="list" allowBlank="1" showInputMessage="1" showErrorMessage="1" sqref="F3:F73" xr:uid="{00000000-0002-0000-0700-000000000000}">
      <formula1>Level1agencysaving</formula1>
    </dataValidation>
    <dataValidation type="list" allowBlank="1" showInputMessage="1" showErrorMessage="1" sqref="G3:G73" xr:uid="{00000000-0002-0000-0700-000001000000}">
      <formula1>Level2agencysaving</formula1>
    </dataValidation>
    <dataValidation type="list" allowBlank="1" showInputMessage="1" showErrorMessage="1" sqref="E3:E73" xr:uid="{00000000-0002-0000-0700-000002000000}">
      <formula1>Unit</formula1>
    </dataValidation>
    <dataValidation type="list" allowBlank="1" showInputMessage="1" showErrorMessage="1" sqref="B3:B73" xr:uid="{00000000-0002-0000-0700-000005000000}">
      <formula1>Outcomedetail</formula1>
    </dataValidation>
    <dataValidation type="list" allowBlank="1" showInputMessage="1" showErrorMessage="1" sqref="A3:A73" xr:uid="{00000000-0002-0000-0700-000006000000}">
      <formula1>Outcomecategory</formula1>
    </dataValidation>
    <dataValidation type="list" allowBlank="1" showInputMessage="1" showErrorMessage="1" sqref="T3:T73" xr:uid="{84FCFC73-6558-4F57-9B15-944C9A06B185}">
      <formula1>Update</formula1>
    </dataValidation>
  </dataValidations>
  <hyperlinks>
    <hyperlink ref="Q3" r:id="rId1" xr:uid="{A49DD276-2A34-4832-B221-CAA51DC7D082}"/>
    <hyperlink ref="Q4:Q9" r:id="rId2" display="Research briefing: Immediate costs to government of loss of home (Shelter, 2012)" xr:uid="{FC582795-E367-4708-8B3A-6EC3494925A1}"/>
    <hyperlink ref="Q10" r:id="rId3" display="Research briefing: Immediate costs to government of loss of home (Shelter, 2012)" xr:uid="{11964F49-1FC6-462F-8675-9714517E427B}"/>
    <hyperlink ref="Q12" r:id="rId4" xr:uid="{1B6F9523-B374-4870-8B30-0D1F2628AAF2}"/>
    <hyperlink ref="Q11" r:id="rId5" xr:uid="{AB8584AE-1350-4ACD-85E2-D55823B0A890}"/>
    <hyperlink ref="Q13" r:id="rId6" xr:uid="{4DB38AC4-86E1-40E3-84D3-73EED0803EA4}"/>
    <hyperlink ref="Q14:Q17" r:id="rId7" display="Research briefing: Immediate costs to government of loss of home (Shelter, 2012)" xr:uid="{B7C8F925-2673-4A71-824E-0F1392FFBA26}"/>
    <hyperlink ref="Q18" r:id="rId8" xr:uid="{961F2B4B-073B-4E80-8AB7-933DEC609ADB}"/>
    <hyperlink ref="Q19" r:id="rId9" xr:uid="{E395C4D3-7CFC-4A15-AD73-E55EC39B7C49}"/>
    <hyperlink ref="Q24" r:id="rId10" xr:uid="{F3E55CE5-79B8-4CA1-BA36-AEAC2C1129FB}"/>
    <hyperlink ref="Q26" r:id="rId11" xr:uid="{8185747C-FA17-424B-9A04-3826AB89AF16}"/>
    <hyperlink ref="Q25" r:id="rId12" xr:uid="{1496353E-CA67-4CB2-9A5F-5325B93EB1F5}"/>
    <hyperlink ref="Q36" r:id="rId13" display="Housing Benefit caseload statistics (Stat-Xplore tool): data to February 2021 (DWP, 2021)" xr:uid="{FB8A0A75-A535-47C8-A54B-7C03AAB5272B}"/>
    <hyperlink ref="Q44" r:id="rId14" xr:uid="{457B2A8D-AF91-4A5B-AFF5-0C198C1BC385}"/>
    <hyperlink ref="Q20:Q23" r:id="rId15" display="Research briefing: Immediate costs to government of loss of home (Shelter, 2012)" xr:uid="{2F7324BD-2B01-4DB5-8AB8-933D329A7C4A}"/>
    <hyperlink ref="Q27" r:id="rId16" xr:uid="{CDEDF283-D17E-497B-B0EB-C80B8A9214A5}"/>
    <hyperlink ref="Q28" r:id="rId17" xr:uid="{426A6BB1-C9B3-45D8-AC7D-21362C2776E0}"/>
    <hyperlink ref="Q45" r:id="rId18" display="Live tables on rents, lettings and tenancies (MHCLG, 2018) - Table 702" xr:uid="{38213CC9-6AB0-4058-93E6-C0DD6A2B8B3B}"/>
    <hyperlink ref="Q52" r:id="rId19" display="Private registered provider social housing stock in England - rents profile, 2020-2021 (Regulator of Social Housing, 2021), p.5" xr:uid="{27794FB2-2241-48F6-BCAE-6189F64D2F80}"/>
    <hyperlink ref="Q35" r:id="rId20" xr:uid="{91827933-6C33-4F7B-85EA-8CDB7BDE2EA3}"/>
    <hyperlink ref="Q31" r:id="rId21" xr:uid="{E14D4D9E-067C-45ED-AB86-3A85074DCDE4}"/>
    <hyperlink ref="Q32:Q34" r:id="rId22" display="At what cost? - An estimation of the financial costs of single homelessness in the UK, Pleace 2015" xr:uid="{CCFBEA05-1DF6-4124-93A2-33D8A88118DF}"/>
    <hyperlink ref="Q4" r:id="rId23" xr:uid="{20032E38-1B3A-48BF-AB83-C1CA36209850}"/>
    <hyperlink ref="Q5" r:id="rId24" xr:uid="{351536DA-4A39-467C-A5CC-372BD2631AD0}"/>
    <hyperlink ref="Q6" r:id="rId25" xr:uid="{62501203-0AD5-428A-882A-5C8FDD696307}"/>
    <hyperlink ref="Q7" r:id="rId26" xr:uid="{468F08BB-6F53-4C33-B013-BE8DEBB1993E}"/>
    <hyperlink ref="Q8" r:id="rId27" xr:uid="{F497DB31-8F08-41EB-96CC-4012D099EAD1}"/>
    <hyperlink ref="Q9" r:id="rId28" xr:uid="{CAE98609-2015-41A2-9B7B-28D1D241A213}"/>
    <hyperlink ref="Q14" r:id="rId29" xr:uid="{9DA73B8F-E7CF-4383-9945-110D3B1D2004}"/>
    <hyperlink ref="Q15" r:id="rId30" xr:uid="{F1EC028D-AE40-4DB7-A4F0-5B11F2988891}"/>
    <hyperlink ref="Q16" r:id="rId31" xr:uid="{D6AE33B3-ED2E-48AC-B37A-377DE5482698}"/>
    <hyperlink ref="Q17" r:id="rId32" xr:uid="{D50FB5F4-78B6-42A2-899A-27E659F87BFD}"/>
    <hyperlink ref="Q20" r:id="rId33" xr:uid="{8B1A407A-7285-4C6C-879B-D514336A265F}"/>
    <hyperlink ref="Q21" r:id="rId34" xr:uid="{A32B6172-7B16-4569-97DE-F78CA5975D3A}"/>
    <hyperlink ref="Q22" r:id="rId35" xr:uid="{5B529680-9BAB-4A62-BF64-E4D18B3C19C6}"/>
    <hyperlink ref="Q23" r:id="rId36" xr:uid="{7322208A-1D8A-4668-9F5A-4F4CD39142AA}"/>
    <hyperlink ref="Q29" r:id="rId37" xr:uid="{E04C96F6-68EC-4F9A-AD33-D8BC798D44CC}"/>
    <hyperlink ref="Q30" r:id="rId38" xr:uid="{E05A6576-FF5D-474A-8C0E-0FAB939DF3A6}"/>
    <hyperlink ref="Q32" r:id="rId39" xr:uid="{FB42B7DD-2841-4794-A304-CE7758C5CE5C}"/>
    <hyperlink ref="Q33" r:id="rId40" xr:uid="{73B96683-E17A-422C-86C8-7A97F9AEBD5E}"/>
    <hyperlink ref="Q34" r:id="rId41" xr:uid="{A706A9BB-34F8-489A-A4BD-24EF716C74CA}"/>
    <hyperlink ref="Q73" r:id="rId42" xr:uid="{DF103548-8E46-4366-A60E-A47E372B59E4}"/>
    <hyperlink ref="Q37" r:id="rId43" display="Housing Benefit caseload statistics (Stat-Xplore tool): data to February 2021 (DWP, 2021)" xr:uid="{9D82BFF9-8660-42FC-BE23-BC93595ABBD7}"/>
    <hyperlink ref="Q38" r:id="rId44" display="Housing Benefit caseload statistics (Stat-Xplore tool): data to February 2021 (DWP, 2021)" xr:uid="{8CEADE5F-2198-49A9-804A-0315BA2F28F7}"/>
    <hyperlink ref="Q39" r:id="rId45" display="Housing Benefit caseload statistics (Stat-Xplore tool): data to February 2021 (DWP, 2021)" xr:uid="{48F5C623-F35C-430D-ADC1-C7BBA27B5E99}"/>
    <hyperlink ref="Q40" r:id="rId46" display="Housing Benefit caseload statistics (Stat-Xplore tool): data to February 2021 (DWP, 2021)" xr:uid="{38D969C9-60DF-45B4-BA3D-9FDE98B8F3CB}"/>
    <hyperlink ref="Q41" r:id="rId47" display="Housing Benefit caseload statistics (Stat-Xplore tool): data to February 2021 (DWP, 2021)" xr:uid="{BFE84B34-0290-4592-8A1B-848DC5CB523D}"/>
    <hyperlink ref="Q42" r:id="rId48" display="Housing Benefit caseload statistics (Stat-Xplore tool): data to February 2021 (DWP, 2021)" xr:uid="{4EF4E060-FF0A-4A5B-BEB8-C034857168A7}"/>
    <hyperlink ref="Q43" r:id="rId49" display="Housing Benefit caseload statistics (Stat-Xplore tool): data to February 2021 (DWP, 2021)" xr:uid="{FBB62168-66DD-484B-B7EE-31B6911CFE2C}"/>
    <hyperlink ref="Q46" r:id="rId50" xr:uid="{813AB010-A89F-410A-A7D5-A91E1DF06BD8}"/>
    <hyperlink ref="Q67" r:id="rId51" xr:uid="{2C2170FC-12C6-467F-8A00-C3238ABE2B38}"/>
    <hyperlink ref="Q60" r:id="rId52" display="Private rental market summary statistics - April 2020 to March 2021 (ONS, 2021)" xr:uid="{8072A3DB-2277-4B87-9423-EFFA00C12FE3}"/>
    <hyperlink ref="Q61" r:id="rId53" display="Private rental market summary statistics - April 2020 to March 2021 (ONS, 2021)" xr:uid="{669C63BA-0612-45FA-9BE3-C7E299B22620}"/>
    <hyperlink ref="Q62" r:id="rId54" display="Private rental market summary statistics - April 2020 to March 2021 (ONS, 2021)" xr:uid="{F9AEEAF1-BA0F-4096-AE75-AB299DC8C838}"/>
    <hyperlink ref="Q63" r:id="rId55" display="Private rental market summary statistics - April 2020 to March 2021 (ONS, 2021)" xr:uid="{7439E120-37D0-4D40-8855-9AE1D2520854}"/>
    <hyperlink ref="Q64" r:id="rId56" display="Private rental market summary statistics - April 2020 to March 2021 (ONS, 2021)" xr:uid="{97C69CCC-2AA6-46DB-8D9A-07FD8343451B}"/>
    <hyperlink ref="Q65" r:id="rId57" display="Private rental market summary statistics - April 2020 to March 2021 (ONS, 2021)" xr:uid="{A053E4D4-8750-4C30-9F95-8CA1AE8C40D7}"/>
    <hyperlink ref="Q66" r:id="rId58" display="Private rental market summary statistics - April 2020 to March 2021 (ONS, 2021)" xr:uid="{35FE7536-7B35-489B-A345-E0BD30CEC842}"/>
    <hyperlink ref="Q47" r:id="rId59" display="Local authority registered provider (LARP) social housing stock in England: stock and rents profile, 2020-21 (Regulator of Social Housing, 2021), p.12" xr:uid="{91D47D25-7211-4E1A-86BF-6553B5416D05}"/>
    <hyperlink ref="Q48" r:id="rId60" display="Local authority registered provider (LARP) social housing stock in England: stock and rents profile, 2020-21 (Regulator of Social Housing, 2021), p.12" xr:uid="{E7C9569C-2CD0-4078-9558-C3A4FE5D4CDF}"/>
    <hyperlink ref="Q49" r:id="rId61" display="Local authority registered provider (LARP) social housing stock in England: stock and rents profile, 2020-21 (Regulator of Social Housing, 2021), p.12" xr:uid="{7A48BE18-26CD-433A-999F-827677E45C4B}"/>
    <hyperlink ref="Q50" r:id="rId62" display="Local authority registered provider (LARP) social housing stock in England: stock and rents profile, 2020-21 (Regulator of Social Housing, 2021), p.12" xr:uid="{A187F480-EB28-480A-B1B5-D5C16DFB2795}"/>
    <hyperlink ref="Q51" r:id="rId63" display="Local authority registered provider (LARP) social housing stock in England: stock and rents profile, 2020-21 (Regulator of Social Housing, 2021), p.12" xr:uid="{350D9AAC-9166-4B9D-8358-6B28298926C6}"/>
    <hyperlink ref="Q53" r:id="rId64" display="Private registered provider social housing stock in England - rents profile, 2020-2021 (Regulator of Social Housing, 2021), p.5" xr:uid="{F8E75F43-4589-4459-B62A-95A70E6D5A82}"/>
    <hyperlink ref="Q54" r:id="rId65" display="Private registered provider social housing stock in England - rents profile, 2020-2021 (Regulator of Social Housing, 2021), p.5" xr:uid="{84353D94-9B1A-4C75-9BE8-60D3D06A82F2}"/>
    <hyperlink ref="Q55" r:id="rId66" display="Private registered provider social housing stock in England - rents profile, 2020-2021 (Regulator of Social Housing, 2021), p.5" xr:uid="{7FD0471A-A266-479F-B1B4-2113F107808D}"/>
    <hyperlink ref="Q56" r:id="rId67" display="Private registered provider social housing stock in England - rents profile, 2020-2021 (Regulator of Social Housing, 2021), p.5" xr:uid="{43FB0368-F0C5-40E7-924D-6296A574FF3A}"/>
    <hyperlink ref="Q57" r:id="rId68" display="Private registered provider social housing stock in England - rents profile, 2020-2021 (Regulator of Social Housing, 2021), p.5" xr:uid="{4B4394BA-6152-4905-8D5D-EA3672BC80EF}"/>
    <hyperlink ref="Q58" r:id="rId69" display="Private registered provider social housing stock in England - rents profile, 2020-2021 (Regulator of Social Housing, 2021), p.5" xr:uid="{2B4A17DC-6630-41D9-ADD2-CCE370ADF868}"/>
    <hyperlink ref="Q59" r:id="rId70" display="Private registered provider social housing stock in England - rents profile, 2020-2021 (Regulator of Social Housing, 2021), p.5" xr:uid="{5FEA52C1-A15F-4696-9832-9A0025A5C427}"/>
    <hyperlink ref="Q68" r:id="rId71" xr:uid="{6A570C46-6570-4AF9-A76B-CD467BA1AC3F}"/>
    <hyperlink ref="Q69" r:id="rId72" xr:uid="{9FA87B76-E81E-421A-A18C-A4B415084E2A}"/>
    <hyperlink ref="Q70" r:id="rId73" xr:uid="{803DD269-A5EF-4213-9B55-3F74244DD575}"/>
    <hyperlink ref="Q71" r:id="rId74" xr:uid="{34FFDB84-1791-4625-A768-3E27ADC9BB16}"/>
    <hyperlink ref="Q72" r:id="rId75" xr:uid="{C0A62D12-8188-4550-BC48-9A1CAA27C7BF}"/>
  </hyperlinks>
  <pageMargins left="0.74803149606299213" right="0.74803149606299213" top="0.98425196850393704" bottom="0.98425196850393704" header="0.51181102362204722" footer="0.51181102362204722"/>
  <pageSetup paperSize="8" scale="44" orientation="landscape" r:id="rId76"/>
  <headerFooter alignWithMargins="0"/>
  <extLst>
    <ext xmlns:x14="http://schemas.microsoft.com/office/spreadsheetml/2009/9/main" uri="{78C0D931-6437-407d-A8EE-F0AAD7539E65}">
      <x14:conditionalFormattings>
        <x14:conditionalFormatting xmlns:xm="http://schemas.microsoft.com/office/excel/2006/main">
          <x14:cfRule type="cellIs" priority="59" operator="equal" id="{846B9B00-7B9E-44A2-9D36-EA83A513D2C5}">
            <xm:f>Lookups!$V$12</xm:f>
            <x14:dxf>
              <fill>
                <patternFill>
                  <bgColor rgb="FF92D050"/>
                </patternFill>
              </fill>
            </x14:dxf>
          </x14:cfRule>
          <x14:cfRule type="cellIs" priority="60" operator="equal" id="{7A27C153-0949-469E-9BA4-E811550F94CA}">
            <xm:f>Lookups!$V$11</xm:f>
            <x14:dxf>
              <fill>
                <patternFill>
                  <bgColor rgb="FFFFC000"/>
                </patternFill>
              </fill>
            </x14:dxf>
          </x14:cfRule>
          <x14:cfRule type="cellIs" priority="61" operator="equal" id="{3392B763-1FE8-4811-B098-0D90FE9DE9DD}">
            <xm:f>Lookups!$V$10</xm:f>
            <x14:dxf>
              <fill>
                <patternFill>
                  <bgColor rgb="FFFF0000"/>
                </patternFill>
              </fill>
            </x14:dxf>
          </x14:cfRule>
          <xm:sqref>R3:R45 R47:R57 R60:R73</xm:sqref>
        </x14:conditionalFormatting>
        <x14:conditionalFormatting xmlns:xm="http://schemas.microsoft.com/office/excel/2006/main">
          <x14:cfRule type="cellIs" priority="53" operator="equal" id="{3A8324FE-4487-4BC6-B30F-868D09E972F1}">
            <xm:f>Lookups!$V$12</xm:f>
            <x14:dxf>
              <fill>
                <patternFill>
                  <bgColor rgb="FF92D050"/>
                </patternFill>
              </fill>
            </x14:dxf>
          </x14:cfRule>
          <x14:cfRule type="cellIs" priority="54" operator="equal" id="{F1066D1C-B50D-4E27-B207-F67F6DBC5EFF}">
            <xm:f>Lookups!$V$11</xm:f>
            <x14:dxf>
              <fill>
                <patternFill>
                  <bgColor rgb="FFFFC000"/>
                </patternFill>
              </fill>
            </x14:dxf>
          </x14:cfRule>
          <x14:cfRule type="cellIs" priority="55" operator="equal" id="{31A244EF-47A8-485F-BDF7-3FBB36E05FD2}">
            <xm:f>Lookups!$V$10</xm:f>
            <x14:dxf>
              <fill>
                <patternFill>
                  <bgColor rgb="FFFF0000"/>
                </patternFill>
              </fill>
            </x14:dxf>
          </x14:cfRule>
          <xm:sqref>R46</xm:sqref>
        </x14:conditionalFormatting>
        <x14:conditionalFormatting xmlns:xm="http://schemas.microsoft.com/office/excel/2006/main">
          <x14:cfRule type="cellIs" priority="32" operator="equal" id="{6C837F86-CB9F-40CE-B1CD-29D290E7D71E}">
            <xm:f>Lookups!$V$12</xm:f>
            <x14:dxf>
              <fill>
                <patternFill>
                  <bgColor rgb="FF92D050"/>
                </patternFill>
              </fill>
            </x14:dxf>
          </x14:cfRule>
          <x14:cfRule type="cellIs" priority="33" operator="equal" id="{E2E336F3-E372-40EE-B83C-9E33AA933B36}">
            <xm:f>Lookups!$V$11</xm:f>
            <x14:dxf>
              <fill>
                <patternFill>
                  <bgColor rgb="FFFFC000"/>
                </patternFill>
              </fill>
            </x14:dxf>
          </x14:cfRule>
          <x14:cfRule type="cellIs" priority="34" operator="equal" id="{EB5D1919-074C-453C-A45B-3051330DB063}">
            <xm:f>Lookups!$V$10</xm:f>
            <x14:dxf>
              <fill>
                <patternFill>
                  <bgColor rgb="FFFF0000"/>
                </patternFill>
              </fill>
            </x14:dxf>
          </x14:cfRule>
          <xm:sqref>R58</xm:sqref>
        </x14:conditionalFormatting>
        <x14:conditionalFormatting xmlns:xm="http://schemas.microsoft.com/office/excel/2006/main">
          <x14:cfRule type="cellIs" priority="23" operator="equal" id="{9D6FC224-F02D-416F-9637-D2029EFC4314}">
            <xm:f>Lookups!$V$12</xm:f>
            <x14:dxf>
              <fill>
                <patternFill>
                  <bgColor rgb="FF92D050"/>
                </patternFill>
              </fill>
            </x14:dxf>
          </x14:cfRule>
          <x14:cfRule type="cellIs" priority="24" operator="equal" id="{F8C52773-AB97-4BD7-8B17-21CAB096BB29}">
            <xm:f>Lookups!$V$11</xm:f>
            <x14:dxf>
              <fill>
                <patternFill>
                  <bgColor rgb="FFFFC000"/>
                </patternFill>
              </fill>
            </x14:dxf>
          </x14:cfRule>
          <x14:cfRule type="cellIs" priority="25" operator="equal" id="{985A36EA-D679-4BC1-968A-8D7A311ABB52}">
            <xm:f>Lookups!$V$10</xm:f>
            <x14:dxf>
              <fill>
                <patternFill>
                  <bgColor rgb="FFFF0000"/>
                </patternFill>
              </fill>
            </x14:dxf>
          </x14:cfRule>
          <xm:sqref>R59</xm:sqref>
        </x14:conditionalFormatting>
        <x14:conditionalFormatting xmlns:xm="http://schemas.microsoft.com/office/excel/2006/main">
          <x14:cfRule type="cellIs" priority="1" operator="between" id="{1C4D1276-710A-4D46-969F-8C3B52333C50}">
            <xm:f>Lookups!$T$10</xm:f>
            <xm:f>Lookups!$T$30</xm:f>
            <x14:dxf>
              <fill>
                <patternFill>
                  <bgColor rgb="FFFF0000"/>
                </patternFill>
              </fill>
            </x14:dxf>
          </x14:cfRule>
          <x14:cfRule type="cellIs" priority="3" operator="between" id="{3087E8F8-A822-40F8-AC6D-B740AF405E13}">
            <xm:f>Lookups!$T$31</xm:f>
            <xm:f>Lookups!$T$35</xm:f>
            <x14:dxf>
              <fill>
                <patternFill>
                  <bgColor rgb="FFFFC000"/>
                </patternFill>
              </fill>
            </x14:dxf>
          </x14:cfRule>
          <x14:cfRule type="cellIs" priority="4" operator="between" id="{C4E05E74-AFCE-48BC-BDE6-B4B31922CF01}">
            <xm:f>Lookups!$T$36</xm:f>
            <xm:f>Lookups!$T$40</xm:f>
            <x14:dxf>
              <fill>
                <patternFill>
                  <bgColor rgb="FF92D050"/>
                </patternFill>
              </fill>
            </x14:dxf>
          </x14:cfRule>
          <xm:sqref>I3:I73 L3:L73 O3:O73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outlinePr summaryBelow="0" summaryRight="0"/>
  </sheetPr>
  <dimension ref="A1:U302"/>
  <sheetViews>
    <sheetView showGridLines="0" zoomScale="90" zoomScaleNormal="90" workbookViewId="0">
      <pane xSplit="4" ySplit="2" topLeftCell="E3" activePane="bottomRight" state="frozen"/>
      <selection activeCell="D69" sqref="D69"/>
      <selection pane="topRight" activeCell="D69" sqref="D69"/>
      <selection pane="bottomLeft" activeCell="D69" sqref="D69"/>
      <selection pane="bottomRight" activeCell="A3" sqref="A3"/>
    </sheetView>
  </sheetViews>
  <sheetFormatPr defaultColWidth="9" defaultRowHeight="60" customHeight="1" outlineLevelRow="2" x14ac:dyDescent="0.25"/>
  <cols>
    <col min="1" max="1" width="12.69921875" style="68" customWidth="1"/>
    <col min="2" max="2" width="14.19921875" style="68" customWidth="1"/>
    <col min="3" max="3" width="8.5" style="68" customWidth="1"/>
    <col min="4" max="4" width="43.19921875" style="68" customWidth="1"/>
    <col min="5" max="5" width="15" style="68" customWidth="1"/>
    <col min="6" max="6" width="16" style="68" customWidth="1"/>
    <col min="7" max="7" width="15.69921875" style="68" customWidth="1"/>
    <col min="8" max="8" width="12.5" style="68" bestFit="1" customWidth="1"/>
    <col min="9" max="9" width="10" style="68" customWidth="1"/>
    <col min="10" max="10" width="12.5" style="68" bestFit="1" customWidth="1"/>
    <col min="11" max="11" width="12.5" style="68" customWidth="1"/>
    <col min="12" max="12" width="10" style="68" customWidth="1"/>
    <col min="13" max="14" width="12.5" style="68" customWidth="1"/>
    <col min="15" max="15" width="10" style="68" customWidth="1"/>
    <col min="16" max="16" width="12.5" style="68" customWidth="1"/>
    <col min="17" max="17" width="46.19921875" style="68" customWidth="1"/>
    <col min="18" max="18" width="12.5" style="68" customWidth="1"/>
    <col min="19" max="19" width="78.19921875" style="68" customWidth="1"/>
    <col min="20" max="20" width="10.19921875" style="178" customWidth="1"/>
    <col min="21" max="21" width="20.69921875" style="68" customWidth="1"/>
    <col min="22" max="16384" width="9" style="68"/>
  </cols>
  <sheetData>
    <row r="1" spans="1:21" s="47" customFormat="1" ht="31.2" customHeight="1" x14ac:dyDescent="0.25">
      <c r="A1" s="305" t="s">
        <v>3266</v>
      </c>
      <c r="B1" s="306" t="s">
        <v>247</v>
      </c>
      <c r="C1" s="306" t="s">
        <v>689</v>
      </c>
      <c r="D1" s="306" t="s">
        <v>248</v>
      </c>
      <c r="E1" s="306" t="s">
        <v>176</v>
      </c>
      <c r="F1" s="310" t="s">
        <v>868</v>
      </c>
      <c r="G1" s="311"/>
      <c r="H1" s="310" t="s">
        <v>901</v>
      </c>
      <c r="I1" s="312"/>
      <c r="J1" s="311"/>
      <c r="K1" s="310" t="s">
        <v>902</v>
      </c>
      <c r="L1" s="312"/>
      <c r="M1" s="311"/>
      <c r="N1" s="310" t="s">
        <v>903</v>
      </c>
      <c r="O1" s="312"/>
      <c r="P1" s="311"/>
      <c r="Q1" s="306" t="s">
        <v>175</v>
      </c>
      <c r="R1" s="306" t="s">
        <v>1252</v>
      </c>
      <c r="S1" s="306" t="s">
        <v>688</v>
      </c>
      <c r="T1" s="310" t="s">
        <v>2189</v>
      </c>
      <c r="U1" s="313"/>
    </row>
    <row r="2" spans="1:21" s="47" customFormat="1" ht="30" customHeight="1" x14ac:dyDescent="0.25">
      <c r="A2" s="307" t="s">
        <v>3267</v>
      </c>
      <c r="B2" s="308"/>
      <c r="C2" s="308"/>
      <c r="D2" s="308"/>
      <c r="E2" s="308"/>
      <c r="F2" s="302" t="s">
        <v>203</v>
      </c>
      <c r="G2" s="302" t="s">
        <v>204</v>
      </c>
      <c r="H2" s="302" t="s">
        <v>249</v>
      </c>
      <c r="I2" s="302" t="s">
        <v>180</v>
      </c>
      <c r="J2" s="302" t="s">
        <v>684</v>
      </c>
      <c r="K2" s="302" t="s">
        <v>249</v>
      </c>
      <c r="L2" s="302" t="s">
        <v>180</v>
      </c>
      <c r="M2" s="302" t="s">
        <v>684</v>
      </c>
      <c r="N2" s="302" t="s">
        <v>249</v>
      </c>
      <c r="O2" s="302" t="s">
        <v>180</v>
      </c>
      <c r="P2" s="302" t="s">
        <v>684</v>
      </c>
      <c r="Q2" s="308"/>
      <c r="R2" s="309" t="s">
        <v>3268</v>
      </c>
      <c r="S2" s="308"/>
      <c r="T2" s="303" t="s">
        <v>921</v>
      </c>
      <c r="U2" s="304" t="s">
        <v>920</v>
      </c>
    </row>
    <row r="3" spans="1:21" s="54" customFormat="1" ht="60" customHeight="1" collapsed="1" x14ac:dyDescent="0.25">
      <c r="A3" s="48" t="s">
        <v>219</v>
      </c>
      <c r="B3" s="48" t="s">
        <v>34</v>
      </c>
      <c r="C3" s="48" t="s">
        <v>952</v>
      </c>
      <c r="D3" s="224" t="s">
        <v>110</v>
      </c>
      <c r="E3" s="90" t="s">
        <v>170</v>
      </c>
      <c r="F3" s="90" t="s">
        <v>162</v>
      </c>
      <c r="G3" s="4" t="s">
        <v>2692</v>
      </c>
      <c r="H3" s="193">
        <v>324.11</v>
      </c>
      <c r="I3" s="181" t="s">
        <v>1520</v>
      </c>
      <c r="J3" s="221">
        <f>IF(H3&gt;0,(H3*VLOOKUP(Lookups!$K$11,Lookups!$M$10:$P$43,4,0)/VLOOKUP(I3,Lookups!$M$10:$P$43,4,0)),"")</f>
        <v>333.80835070726715</v>
      </c>
      <c r="K3" s="165"/>
      <c r="L3" s="181"/>
      <c r="M3" s="221" t="str">
        <f>IF(K3&gt;0,(K3*VLOOKUP(Lookups!$K$11,Lookups!$M$10:$P$43,4,0)/VLOOKUP(L3,Lookups!$M$10:$P$43,4,0)),"")</f>
        <v/>
      </c>
      <c r="N3" s="165"/>
      <c r="O3" s="181"/>
      <c r="P3" s="221" t="str">
        <f>IF(N3&gt;0,(N3*VLOOKUP(Lookups!$K$11,Lookups!$M$10:$P$43,4,0)/VLOOKUP(O3,Lookups!$M$10:$P$43,4,0)),"")</f>
        <v/>
      </c>
      <c r="Q3" s="173" t="s">
        <v>3199</v>
      </c>
      <c r="R3" s="181" t="s">
        <v>154</v>
      </c>
      <c r="S3" s="174" t="s">
        <v>2877</v>
      </c>
      <c r="T3" s="181" t="s">
        <v>923</v>
      </c>
      <c r="U3" s="4" t="s">
        <v>2832</v>
      </c>
    </row>
    <row r="4" spans="1:21" s="54" customFormat="1" ht="60" hidden="1" customHeight="1" outlineLevel="2" x14ac:dyDescent="0.25">
      <c r="A4" s="49" t="s">
        <v>219</v>
      </c>
      <c r="B4" s="49" t="s">
        <v>34</v>
      </c>
      <c r="C4" s="49" t="s">
        <v>2880</v>
      </c>
      <c r="D4" s="223" t="s">
        <v>112</v>
      </c>
      <c r="E4" s="4" t="s">
        <v>170</v>
      </c>
      <c r="F4" s="4" t="s">
        <v>162</v>
      </c>
      <c r="G4" s="4" t="s">
        <v>2692</v>
      </c>
      <c r="H4" s="193">
        <v>268.43</v>
      </c>
      <c r="I4" s="181" t="s">
        <v>1520</v>
      </c>
      <c r="J4" s="221">
        <f>IF(H4&gt;0,(H4*VLOOKUP(Lookups!$K$11,Lookups!$M$10:$P$43,4,0)/VLOOKUP(I4,Lookups!$M$10:$P$43,4,0)),"")</f>
        <v>276.4622368342591</v>
      </c>
      <c r="K4" s="11"/>
      <c r="L4" s="181"/>
      <c r="M4" s="221" t="str">
        <f>IF(K4&gt;0,(K4*VLOOKUP(Lookups!$K$11,Lookups!$M$10:$P$43,4,0)/VLOOKUP(L4,Lookups!$M$10:$P$43,4,0)),"")</f>
        <v/>
      </c>
      <c r="N4" s="11"/>
      <c r="O4" s="181"/>
      <c r="P4" s="221" t="str">
        <f>IF(N4&gt;0,(N4*VLOOKUP(Lookups!$K$11,Lookups!$M$10:$P$43,4,0)/VLOOKUP(O4,Lookups!$M$10:$P$43,4,0)),"")</f>
        <v/>
      </c>
      <c r="Q4" s="173" t="s">
        <v>3200</v>
      </c>
      <c r="R4" s="181" t="s">
        <v>154</v>
      </c>
      <c r="S4" s="174" t="s">
        <v>2833</v>
      </c>
      <c r="T4" s="181" t="s">
        <v>923</v>
      </c>
      <c r="U4" s="4" t="s">
        <v>2832</v>
      </c>
    </row>
    <row r="5" spans="1:21" s="54" customFormat="1" ht="60" hidden="1" customHeight="1" outlineLevel="2" x14ac:dyDescent="0.25">
      <c r="A5" s="49" t="s">
        <v>219</v>
      </c>
      <c r="B5" s="49" t="s">
        <v>34</v>
      </c>
      <c r="C5" s="49" t="s">
        <v>2881</v>
      </c>
      <c r="D5" s="223" t="s">
        <v>111</v>
      </c>
      <c r="E5" s="4" t="s">
        <v>170</v>
      </c>
      <c r="F5" s="4" t="s">
        <v>162</v>
      </c>
      <c r="G5" s="4" t="s">
        <v>2692</v>
      </c>
      <c r="H5" s="193">
        <v>357.4</v>
      </c>
      <c r="I5" s="181" t="s">
        <v>1520</v>
      </c>
      <c r="J5" s="221">
        <f>IF(H5&gt;0,(H5*VLOOKUP(Lookups!$K$11,Lookups!$M$10:$P$43,4,0)/VLOOKUP(I5,Lookups!$M$10:$P$43,4,0)),"")</f>
        <v>368.09448811445884</v>
      </c>
      <c r="K5" s="11"/>
      <c r="L5" s="181"/>
      <c r="M5" s="221" t="str">
        <f>IF(K5&gt;0,(K5*VLOOKUP(Lookups!$K$11,Lookups!$M$10:$P$43,4,0)/VLOOKUP(L5,Lookups!$M$10:$P$43,4,0)),"")</f>
        <v/>
      </c>
      <c r="N5" s="11"/>
      <c r="O5" s="181"/>
      <c r="P5" s="221" t="str">
        <f>IF(N5&gt;0,(N5*VLOOKUP(Lookups!$K$11,Lookups!$M$10:$P$43,4,0)/VLOOKUP(O5,Lookups!$M$10:$P$43,4,0)),"")</f>
        <v/>
      </c>
      <c r="Q5" s="173" t="s">
        <v>3243</v>
      </c>
      <c r="R5" s="181" t="s">
        <v>154</v>
      </c>
      <c r="S5" s="174" t="s">
        <v>2834</v>
      </c>
      <c r="T5" s="181" t="s">
        <v>923</v>
      </c>
      <c r="U5" s="4" t="s">
        <v>2832</v>
      </c>
    </row>
    <row r="6" spans="1:21" s="54" customFormat="1" ht="60" hidden="1" customHeight="1" outlineLevel="1" x14ac:dyDescent="0.25">
      <c r="A6" s="50" t="s">
        <v>219</v>
      </c>
      <c r="B6" s="50" t="s">
        <v>34</v>
      </c>
      <c r="C6" s="50" t="s">
        <v>425</v>
      </c>
      <c r="D6" s="50" t="s">
        <v>113</v>
      </c>
      <c r="E6" s="4" t="s">
        <v>170</v>
      </c>
      <c r="F6" s="4" t="s">
        <v>162</v>
      </c>
      <c r="G6" s="4" t="s">
        <v>2692</v>
      </c>
      <c r="H6" s="193">
        <v>89.59</v>
      </c>
      <c r="I6" s="181" t="s">
        <v>1520</v>
      </c>
      <c r="J6" s="221">
        <f>IF(H6&gt;0,(H6*VLOOKUP(Lookups!$K$11,Lookups!$M$10:$P$43,4,0)/VLOOKUP(I6,Lookups!$M$10:$P$43,4,0)),"")</f>
        <v>92.270803553929412</v>
      </c>
      <c r="K6" s="11"/>
      <c r="L6" s="181"/>
      <c r="M6" s="221" t="str">
        <f>IF(K6&gt;0,(K6*VLOOKUP(Lookups!$K$11,Lookups!$M$10:$P$43,4,0)/VLOOKUP(L6,Lookups!$M$10:$P$43,4,0)),"")</f>
        <v/>
      </c>
      <c r="N6" s="11"/>
      <c r="O6" s="181"/>
      <c r="P6" s="221" t="str">
        <f>IF(N6&gt;0,(N6*VLOOKUP(Lookups!$K$11,Lookups!$M$10:$P$43,4,0)/VLOOKUP(O6,Lookups!$M$10:$P$43,4,0)),"")</f>
        <v/>
      </c>
      <c r="Q6" s="173" t="s">
        <v>3244</v>
      </c>
      <c r="R6" s="181" t="s">
        <v>154</v>
      </c>
      <c r="S6" s="174" t="s">
        <v>2835</v>
      </c>
      <c r="T6" s="176" t="s">
        <v>923</v>
      </c>
      <c r="U6" s="4" t="s">
        <v>2832</v>
      </c>
    </row>
    <row r="7" spans="1:21" s="54" customFormat="1" ht="60" hidden="1" customHeight="1" outlineLevel="1" x14ac:dyDescent="0.25">
      <c r="A7" s="50" t="s">
        <v>219</v>
      </c>
      <c r="B7" s="50" t="s">
        <v>34</v>
      </c>
      <c r="C7" s="50" t="s">
        <v>2882</v>
      </c>
      <c r="D7" s="50" t="s">
        <v>114</v>
      </c>
      <c r="E7" s="4" t="s">
        <v>170</v>
      </c>
      <c r="F7" s="4" t="s">
        <v>162</v>
      </c>
      <c r="G7" s="4" t="s">
        <v>2692</v>
      </c>
      <c r="H7" s="193">
        <v>85.02</v>
      </c>
      <c r="I7" s="181" t="s">
        <v>1520</v>
      </c>
      <c r="J7" s="221">
        <f>IF(H7&gt;0,(H7*VLOOKUP(Lookups!$K$11,Lookups!$M$10:$P$43,4,0)/VLOOKUP(I7,Lookups!$M$10:$P$43,4,0)),"")</f>
        <v>87.564055342728864</v>
      </c>
      <c r="K7" s="11"/>
      <c r="L7" s="181"/>
      <c r="M7" s="221" t="str">
        <f>IF(K7&gt;0,(K7*VLOOKUP(Lookups!$K$11,Lookups!$M$10:$P$43,4,0)/VLOOKUP(L7,Lookups!$M$10:$P$43,4,0)),"")</f>
        <v/>
      </c>
      <c r="N7" s="11"/>
      <c r="O7" s="181"/>
      <c r="P7" s="221" t="str">
        <f>IF(N7&gt;0,(N7*VLOOKUP(Lookups!$K$11,Lookups!$M$10:$P$43,4,0)/VLOOKUP(O7,Lookups!$M$10:$P$43,4,0)),"")</f>
        <v/>
      </c>
      <c r="Q7" s="173" t="s">
        <v>3245</v>
      </c>
      <c r="R7" s="181" t="s">
        <v>154</v>
      </c>
      <c r="S7" s="174" t="s">
        <v>2836</v>
      </c>
      <c r="T7" s="176" t="s">
        <v>923</v>
      </c>
      <c r="U7" s="4" t="s">
        <v>2832</v>
      </c>
    </row>
    <row r="8" spans="1:21" s="54" customFormat="1" ht="60" customHeight="1" collapsed="1" x14ac:dyDescent="0.25">
      <c r="A8" s="230" t="s">
        <v>219</v>
      </c>
      <c r="B8" s="230" t="s">
        <v>231</v>
      </c>
      <c r="C8" s="230" t="s">
        <v>953</v>
      </c>
      <c r="D8" s="224" t="s">
        <v>275</v>
      </c>
      <c r="E8" s="90" t="s">
        <v>170</v>
      </c>
      <c r="F8" s="90" t="s">
        <v>162</v>
      </c>
      <c r="G8" s="90" t="s">
        <v>2692</v>
      </c>
      <c r="H8" s="193">
        <v>296.87</v>
      </c>
      <c r="I8" s="181" t="s">
        <v>1520</v>
      </c>
      <c r="J8" s="221">
        <f>IF(H8&gt;0,(H8*VLOOKUP(Lookups!$K$11,Lookups!$M$10:$P$43,4,0)/VLOOKUP(I8,Lookups!$M$10:$P$43,4,0)),"")</f>
        <v>305.75324758404986</v>
      </c>
      <c r="K8" s="165"/>
      <c r="L8" s="181"/>
      <c r="M8" s="221" t="str">
        <f>IF(K8&gt;0,(K8*VLOOKUP(Lookups!$K$11,Lookups!$M$10:$P$43,4,0)/VLOOKUP(L8,Lookups!$M$10:$P$43,4,0)),"")</f>
        <v/>
      </c>
      <c r="N8" s="165"/>
      <c r="O8" s="181"/>
      <c r="P8" s="221" t="str">
        <f>IF(N8&gt;0,(N8*VLOOKUP(Lookups!$K$11,Lookups!$M$10:$P$43,4,0)/VLOOKUP(O8,Lookups!$M$10:$P$43,4,0)),"")</f>
        <v/>
      </c>
      <c r="Q8" s="173" t="s">
        <v>3201</v>
      </c>
      <c r="R8" s="181" t="s">
        <v>154</v>
      </c>
      <c r="S8" s="174" t="s">
        <v>2840</v>
      </c>
      <c r="T8" s="181" t="s">
        <v>923</v>
      </c>
      <c r="U8" s="4" t="s">
        <v>2832</v>
      </c>
    </row>
    <row r="9" spans="1:21" s="54" customFormat="1" ht="60" hidden="1" customHeight="1" outlineLevel="1" collapsed="1" x14ac:dyDescent="0.25">
      <c r="A9" s="50" t="s">
        <v>219</v>
      </c>
      <c r="B9" s="50" t="s">
        <v>231</v>
      </c>
      <c r="C9" s="50" t="s">
        <v>426</v>
      </c>
      <c r="D9" s="50" t="s">
        <v>139</v>
      </c>
      <c r="E9" s="90" t="s">
        <v>170</v>
      </c>
      <c r="F9" s="90" t="s">
        <v>162</v>
      </c>
      <c r="G9" s="90" t="s">
        <v>2692</v>
      </c>
      <c r="H9" s="193">
        <v>133.80000000000001</v>
      </c>
      <c r="I9" s="181" t="s">
        <v>1520</v>
      </c>
      <c r="J9" s="221">
        <f>IF(H9&gt;0,(H9*VLOOKUP(Lookups!$K$11,Lookups!$M$10:$P$43,4,0)/VLOOKUP(I9,Lookups!$M$10:$P$43,4,0)),"")</f>
        <v>137.80370036293957</v>
      </c>
      <c r="K9" s="165"/>
      <c r="L9" s="181"/>
      <c r="M9" s="221" t="str">
        <f>IF(K9&gt;0,(K9*VLOOKUP(Lookups!$K$11,Lookups!$M$10:$P$43,4,0)/VLOOKUP(L9,Lookups!$M$10:$P$43,4,0)),"")</f>
        <v/>
      </c>
      <c r="N9" s="165"/>
      <c r="O9" s="181"/>
      <c r="P9" s="221" t="str">
        <f>IF(N9&gt;0,(N9*VLOOKUP(Lookups!$K$11,Lookups!$M$10:$P$43,4,0)/VLOOKUP(O9,Lookups!$M$10:$P$43,4,0)),"")</f>
        <v/>
      </c>
      <c r="Q9" s="173" t="s">
        <v>3202</v>
      </c>
      <c r="R9" s="181" t="s">
        <v>154</v>
      </c>
      <c r="S9" s="174" t="s">
        <v>2837</v>
      </c>
      <c r="T9" s="181" t="s">
        <v>923</v>
      </c>
      <c r="U9" s="4" t="s">
        <v>2832</v>
      </c>
    </row>
    <row r="10" spans="1:21" s="54" customFormat="1" ht="60" hidden="1" customHeight="1" outlineLevel="2" x14ac:dyDescent="0.25">
      <c r="A10" s="49" t="s">
        <v>219</v>
      </c>
      <c r="B10" s="49" t="s">
        <v>231</v>
      </c>
      <c r="C10" s="49" t="s">
        <v>765</v>
      </c>
      <c r="D10" s="223" t="s">
        <v>140</v>
      </c>
      <c r="E10" s="90" t="s">
        <v>170</v>
      </c>
      <c r="F10" s="90" t="s">
        <v>162</v>
      </c>
      <c r="G10" s="90" t="s">
        <v>2692</v>
      </c>
      <c r="H10" s="193">
        <v>219.6</v>
      </c>
      <c r="I10" s="181" t="s">
        <v>1520</v>
      </c>
      <c r="J10" s="221">
        <f>IF(H10&gt;0,(H10*VLOOKUP(Lookups!$K$11,Lookups!$M$10:$P$43,4,0)/VLOOKUP(I10,Lookups!$M$10:$P$43,4,0)),"")</f>
        <v>226.17109566294118</v>
      </c>
      <c r="K10" s="165"/>
      <c r="L10" s="181"/>
      <c r="M10" s="221" t="str">
        <f>IF(K10&gt;0,(K10*VLOOKUP(Lookups!$K$11,Lookups!$M$10:$P$43,4,0)/VLOOKUP(L10,Lookups!$M$10:$P$43,4,0)),"")</f>
        <v/>
      </c>
      <c r="N10" s="165"/>
      <c r="O10" s="181"/>
      <c r="P10" s="221" t="str">
        <f>IF(N10&gt;0,(N10*VLOOKUP(Lookups!$K$11,Lookups!$M$10:$P$43,4,0)/VLOOKUP(O10,Lookups!$M$10:$P$43,4,0)),"")</f>
        <v/>
      </c>
      <c r="Q10" s="173" t="s">
        <v>3203</v>
      </c>
      <c r="R10" s="181" t="s">
        <v>152</v>
      </c>
      <c r="S10" s="174" t="s">
        <v>2838</v>
      </c>
      <c r="T10" s="181" t="s">
        <v>923</v>
      </c>
      <c r="U10" s="4" t="s">
        <v>2832</v>
      </c>
    </row>
    <row r="11" spans="1:21" s="54" customFormat="1" ht="60" hidden="1" customHeight="1" outlineLevel="2" x14ac:dyDescent="0.25">
      <c r="A11" s="49" t="s">
        <v>219</v>
      </c>
      <c r="B11" s="49" t="s">
        <v>231</v>
      </c>
      <c r="C11" s="49" t="s">
        <v>766</v>
      </c>
      <c r="D11" s="223" t="s">
        <v>141</v>
      </c>
      <c r="E11" s="90" t="s">
        <v>170</v>
      </c>
      <c r="F11" s="90" t="s">
        <v>162</v>
      </c>
      <c r="G11" s="90" t="s">
        <v>2692</v>
      </c>
      <c r="H11" s="193">
        <v>96.22</v>
      </c>
      <c r="I11" s="181" t="s">
        <v>1520</v>
      </c>
      <c r="J11" s="221">
        <f>IF(H11&gt;0,(H11*VLOOKUP(Lookups!$K$11,Lookups!$M$10:$P$43,4,0)/VLOOKUP(I11,Lookups!$M$10:$P$43,4,0)),"")</f>
        <v>99.099193190747712</v>
      </c>
      <c r="K11" s="165"/>
      <c r="L11" s="181"/>
      <c r="M11" s="221" t="str">
        <f>IF(K11&gt;0,(K11*VLOOKUP(Lookups!$K$11,Lookups!$M$10:$P$43,4,0)/VLOOKUP(L11,Lookups!$M$10:$P$43,4,0)),"")</f>
        <v/>
      </c>
      <c r="N11" s="165"/>
      <c r="O11" s="181"/>
      <c r="P11" s="221" t="str">
        <f>IF(N11&gt;0,(N11*VLOOKUP(Lookups!$K$11,Lookups!$M$10:$P$43,4,0)/VLOOKUP(O11,Lookups!$M$10:$P$43,4,0)),"")</f>
        <v/>
      </c>
      <c r="Q11" s="173" t="s">
        <v>3204</v>
      </c>
      <c r="R11" s="181" t="s">
        <v>154</v>
      </c>
      <c r="S11" s="174" t="s">
        <v>2839</v>
      </c>
      <c r="T11" s="181" t="s">
        <v>923</v>
      </c>
      <c r="U11" s="4" t="s">
        <v>2832</v>
      </c>
    </row>
    <row r="12" spans="1:21" s="54" customFormat="1" ht="60" hidden="1" customHeight="1" outlineLevel="1" collapsed="1" x14ac:dyDescent="0.25">
      <c r="A12" s="50" t="s">
        <v>219</v>
      </c>
      <c r="B12" s="50" t="s">
        <v>231</v>
      </c>
      <c r="C12" s="50" t="s">
        <v>435</v>
      </c>
      <c r="D12" s="50" t="s">
        <v>444</v>
      </c>
      <c r="E12" s="90" t="s">
        <v>170</v>
      </c>
      <c r="F12" s="90" t="s">
        <v>162</v>
      </c>
      <c r="G12" s="90" t="s">
        <v>2692</v>
      </c>
      <c r="H12" s="193">
        <v>332.38</v>
      </c>
      <c r="I12" s="181" t="s">
        <v>1520</v>
      </c>
      <c r="J12" s="221">
        <f>IF(H12&gt;0,(H12*VLOOKUP(Lookups!$K$11,Lookups!$M$10:$P$43,4,0)/VLOOKUP(I12,Lookups!$M$10:$P$43,4,0)),"")</f>
        <v>342.32581410040245</v>
      </c>
      <c r="K12" s="165"/>
      <c r="L12" s="181"/>
      <c r="M12" s="221" t="str">
        <f>IF(K12&gt;0,(K12*VLOOKUP(Lookups!$K$11,Lookups!$M$10:$P$43,4,0)/VLOOKUP(L12,Lookups!$M$10:$P$43,4,0)),"")</f>
        <v/>
      </c>
      <c r="N12" s="165"/>
      <c r="O12" s="181"/>
      <c r="P12" s="221" t="str">
        <f>IF(N12&gt;0,(N12*VLOOKUP(Lookups!$K$11,Lookups!$M$10:$P$43,4,0)/VLOOKUP(O12,Lookups!$M$10:$P$43,4,0)),"")</f>
        <v/>
      </c>
      <c r="Q12" s="173" t="s">
        <v>3205</v>
      </c>
      <c r="R12" s="181" t="s">
        <v>154</v>
      </c>
      <c r="S12" s="174" t="s">
        <v>2841</v>
      </c>
      <c r="T12" s="181" t="s">
        <v>923</v>
      </c>
      <c r="U12" s="4" t="s">
        <v>2832</v>
      </c>
    </row>
    <row r="13" spans="1:21" s="54" customFormat="1" ht="60" hidden="1" customHeight="1" outlineLevel="2" x14ac:dyDescent="0.25">
      <c r="A13" s="49" t="s">
        <v>219</v>
      </c>
      <c r="B13" s="49" t="s">
        <v>231</v>
      </c>
      <c r="C13" s="49" t="s">
        <v>2883</v>
      </c>
      <c r="D13" s="223" t="s">
        <v>445</v>
      </c>
      <c r="E13" s="90" t="s">
        <v>170</v>
      </c>
      <c r="F13" s="90" t="s">
        <v>162</v>
      </c>
      <c r="G13" s="90" t="s">
        <v>2692</v>
      </c>
      <c r="H13" s="193">
        <v>235.48</v>
      </c>
      <c r="I13" s="181" t="s">
        <v>1520</v>
      </c>
      <c r="J13" s="221">
        <f>IF(H13&gt;0,(H13*VLOOKUP(Lookups!$K$11,Lookups!$M$10:$P$43,4,0)/VLOOKUP(I13,Lookups!$M$10:$P$43,4,0)),"")</f>
        <v>242.52627325459645</v>
      </c>
      <c r="K13" s="165"/>
      <c r="L13" s="181"/>
      <c r="M13" s="221" t="str">
        <f>IF(K13&gt;0,(K13*VLOOKUP(Lookups!$K$11,Lookups!$M$10:$P$43,4,0)/VLOOKUP(L13,Lookups!$M$10:$P$43,4,0)),"")</f>
        <v/>
      </c>
      <c r="N13" s="165"/>
      <c r="O13" s="181"/>
      <c r="P13" s="221" t="str">
        <f>IF(N13&gt;0,(N13*VLOOKUP(Lookups!$K$11,Lookups!$M$10:$P$43,4,0)/VLOOKUP(O13,Lookups!$M$10:$P$43,4,0)),"")</f>
        <v/>
      </c>
      <c r="Q13" s="173" t="s">
        <v>3206</v>
      </c>
      <c r="R13" s="181" t="s">
        <v>154</v>
      </c>
      <c r="S13" s="174" t="s">
        <v>2842</v>
      </c>
      <c r="T13" s="181" t="s">
        <v>923</v>
      </c>
      <c r="U13" s="4" t="s">
        <v>2832</v>
      </c>
    </row>
    <row r="14" spans="1:21" s="54" customFormat="1" ht="60" hidden="1" customHeight="1" outlineLevel="2" x14ac:dyDescent="0.25">
      <c r="A14" s="49" t="s">
        <v>219</v>
      </c>
      <c r="B14" s="49" t="s">
        <v>231</v>
      </c>
      <c r="C14" s="49" t="s">
        <v>2884</v>
      </c>
      <c r="D14" s="223" t="s">
        <v>446</v>
      </c>
      <c r="E14" s="90" t="s">
        <v>170</v>
      </c>
      <c r="F14" s="90" t="s">
        <v>162</v>
      </c>
      <c r="G14" s="90" t="s">
        <v>2692</v>
      </c>
      <c r="H14" s="193">
        <v>124.06</v>
      </c>
      <c r="I14" s="181" t="s">
        <v>1520</v>
      </c>
      <c r="J14" s="221">
        <f>IF(H14&gt;0,(H14*VLOOKUP(Lookups!$K$11,Lookups!$M$10:$P$43,4,0)/VLOOKUP(I14,Lookups!$M$10:$P$43,4,0)),"")</f>
        <v>127.77225012725174</v>
      </c>
      <c r="K14" s="165"/>
      <c r="L14" s="181"/>
      <c r="M14" s="221" t="str">
        <f>IF(K14&gt;0,(K14*VLOOKUP(Lookups!$K$11,Lookups!$M$10:$P$43,4,0)/VLOOKUP(L14,Lookups!$M$10:$P$43,4,0)),"")</f>
        <v/>
      </c>
      <c r="N14" s="165"/>
      <c r="O14" s="181"/>
      <c r="P14" s="221" t="str">
        <f>IF(N14&gt;0,(N14*VLOOKUP(Lookups!$K$11,Lookups!$M$10:$P$43,4,0)/VLOOKUP(O14,Lookups!$M$10:$P$43,4,0)),"")</f>
        <v/>
      </c>
      <c r="Q14" s="173" t="s">
        <v>3207</v>
      </c>
      <c r="R14" s="181" t="s">
        <v>154</v>
      </c>
      <c r="S14" s="174" t="s">
        <v>2843</v>
      </c>
      <c r="T14" s="181" t="s">
        <v>923</v>
      </c>
      <c r="U14" s="4" t="s">
        <v>2832</v>
      </c>
    </row>
    <row r="15" spans="1:21" s="54" customFormat="1" ht="60" hidden="1" customHeight="1" outlineLevel="1" x14ac:dyDescent="0.25">
      <c r="A15" s="50" t="s">
        <v>219</v>
      </c>
      <c r="B15" s="50" t="s">
        <v>231</v>
      </c>
      <c r="C15" s="50" t="s">
        <v>436</v>
      </c>
      <c r="D15" s="50" t="s">
        <v>276</v>
      </c>
      <c r="E15" s="90" t="s">
        <v>170</v>
      </c>
      <c r="F15" s="90" t="s">
        <v>162</v>
      </c>
      <c r="G15" s="90" t="s">
        <v>2692</v>
      </c>
      <c r="H15" s="193">
        <v>231.35</v>
      </c>
      <c r="I15" s="181" t="s">
        <v>1520</v>
      </c>
      <c r="J15" s="221">
        <f>IF(H15&gt;0,(H15*VLOOKUP(Lookups!$K$11,Lookups!$M$10:$P$43,4,0)/VLOOKUP(I15,Lookups!$M$10:$P$43,4,0)),"")</f>
        <v>238.27269117313952</v>
      </c>
      <c r="K15" s="165"/>
      <c r="L15" s="181"/>
      <c r="M15" s="221" t="str">
        <f>IF(K15&gt;0,(K15*VLOOKUP(Lookups!$K$11,Lookups!$M$10:$P$43,4,0)/VLOOKUP(L15,Lookups!$M$10:$P$43,4,0)),"")</f>
        <v/>
      </c>
      <c r="N15" s="165"/>
      <c r="O15" s="181"/>
      <c r="P15" s="221" t="str">
        <f>IF(N15&gt;0,(N15*VLOOKUP(Lookups!$K$11,Lookups!$M$10:$P$43,4,0)/VLOOKUP(O15,Lookups!$M$10:$P$43,4,0)),"")</f>
        <v/>
      </c>
      <c r="Q15" s="173" t="s">
        <v>3208</v>
      </c>
      <c r="R15" s="181" t="s">
        <v>154</v>
      </c>
      <c r="S15" s="174" t="s">
        <v>2844</v>
      </c>
      <c r="T15" s="181" t="s">
        <v>923</v>
      </c>
      <c r="U15" s="4" t="s">
        <v>2832</v>
      </c>
    </row>
    <row r="16" spans="1:21" s="54" customFormat="1" ht="60" hidden="1" customHeight="1" outlineLevel="1" x14ac:dyDescent="0.25">
      <c r="A16" s="50" t="s">
        <v>219</v>
      </c>
      <c r="B16" s="50" t="s">
        <v>231</v>
      </c>
      <c r="C16" s="50" t="s">
        <v>2885</v>
      </c>
      <c r="D16" s="50" t="s">
        <v>2135</v>
      </c>
      <c r="E16" s="90" t="s">
        <v>170</v>
      </c>
      <c r="F16" s="90" t="s">
        <v>162</v>
      </c>
      <c r="G16" s="90" t="s">
        <v>2692</v>
      </c>
      <c r="H16" s="193">
        <v>113.58</v>
      </c>
      <c r="I16" s="181" t="s">
        <v>1520</v>
      </c>
      <c r="J16" s="221">
        <f>IF(H16&gt;0,(H16*VLOOKUP(Lookups!$K$11,Lookups!$M$10:$P$43,4,0)/VLOOKUP(I16,Lookups!$M$10:$P$43,4,0)),"")</f>
        <v>116.97865685517695</v>
      </c>
      <c r="K16" s="165"/>
      <c r="L16" s="181"/>
      <c r="M16" s="221" t="str">
        <f>IF(K16&gt;0,(K16*VLOOKUP(Lookups!$K$11,Lookups!$M$10:$P$43,4,0)/VLOOKUP(L16,Lookups!$M$10:$P$43,4,0)),"")</f>
        <v/>
      </c>
      <c r="N16" s="165"/>
      <c r="O16" s="181"/>
      <c r="P16" s="221" t="str">
        <f>IF(N16&gt;0,(N16*VLOOKUP(Lookups!$K$11,Lookups!$M$10:$P$43,4,0)/VLOOKUP(O16,Lookups!$M$10:$P$43,4,0)),"")</f>
        <v/>
      </c>
      <c r="Q16" s="173" t="s">
        <v>3209</v>
      </c>
      <c r="R16" s="181" t="s">
        <v>154</v>
      </c>
      <c r="S16" s="174" t="s">
        <v>2845</v>
      </c>
      <c r="T16" s="181" t="s">
        <v>923</v>
      </c>
      <c r="U16" s="4" t="s">
        <v>2832</v>
      </c>
    </row>
    <row r="17" spans="1:21" s="54" customFormat="1" ht="60" customHeight="1" collapsed="1" x14ac:dyDescent="0.25">
      <c r="A17" s="230" t="s">
        <v>219</v>
      </c>
      <c r="B17" s="230" t="s">
        <v>231</v>
      </c>
      <c r="C17" s="230" t="s">
        <v>954</v>
      </c>
      <c r="D17" s="230" t="s">
        <v>2847</v>
      </c>
      <c r="E17" s="175" t="s">
        <v>159</v>
      </c>
      <c r="F17" s="90" t="s">
        <v>162</v>
      </c>
      <c r="G17" s="90" t="s">
        <v>2692</v>
      </c>
      <c r="H17" s="193">
        <v>2941.49</v>
      </c>
      <c r="I17" s="181" t="s">
        <v>1520</v>
      </c>
      <c r="J17" s="221">
        <f>IF(H17&gt;0,(H17*VLOOKUP(Lookups!$K$11,Lookups!$M$10:$P$43,4,0)/VLOOKUP(I17,Lookups!$M$10:$P$43,4,0)),"")</f>
        <v>3029.508270407945</v>
      </c>
      <c r="K17" s="165"/>
      <c r="L17" s="181"/>
      <c r="M17" s="221" t="str">
        <f>IF(K17&gt;0,(K17*VLOOKUP(Lookups!$K$11,Lookups!$M$10:$P$43,4,0)/VLOOKUP(L17,Lookups!$M$10:$P$43,4,0)),"")</f>
        <v/>
      </c>
      <c r="N17" s="165"/>
      <c r="O17" s="181"/>
      <c r="P17" s="221" t="str">
        <f>IF(N17&gt;0,(N17*VLOOKUP(Lookups!$K$11,Lookups!$M$10:$P$43,4,0)/VLOOKUP(O17,Lookups!$M$10:$P$43,4,0)),"")</f>
        <v/>
      </c>
      <c r="Q17" s="143" t="s">
        <v>3210</v>
      </c>
      <c r="R17" s="181" t="s">
        <v>154</v>
      </c>
      <c r="S17" s="174" t="s">
        <v>2846</v>
      </c>
      <c r="T17" s="181" t="s">
        <v>923</v>
      </c>
      <c r="U17" s="4" t="s">
        <v>2832</v>
      </c>
    </row>
    <row r="18" spans="1:21" s="54" customFormat="1" ht="60" hidden="1" customHeight="1" outlineLevel="2" x14ac:dyDescent="0.25">
      <c r="A18" s="49" t="s">
        <v>219</v>
      </c>
      <c r="B18" s="49" t="s">
        <v>231</v>
      </c>
      <c r="C18" s="49" t="s">
        <v>36</v>
      </c>
      <c r="D18" s="223" t="s">
        <v>2848</v>
      </c>
      <c r="E18" s="175" t="s">
        <v>159</v>
      </c>
      <c r="F18" s="90" t="s">
        <v>162</v>
      </c>
      <c r="G18" s="90" t="s">
        <v>2692</v>
      </c>
      <c r="H18" s="193">
        <v>6889.12</v>
      </c>
      <c r="I18" s="181" t="s">
        <v>1520</v>
      </c>
      <c r="J18" s="221">
        <f>IF(H18&gt;0,(H18*VLOOKUP(Lookups!$K$11,Lookups!$M$10:$P$43,4,0)/VLOOKUP(I18,Lookups!$M$10:$P$43,4,0)),"")</f>
        <v>7095.2632903163985</v>
      </c>
      <c r="K18" s="165"/>
      <c r="L18" s="181"/>
      <c r="M18" s="221" t="str">
        <f>IF(K18&gt;0,(K18*VLOOKUP(Lookups!$K$11,Lookups!$M$10:$P$43,4,0)/VLOOKUP(L18,Lookups!$M$10:$P$43,4,0)),"")</f>
        <v/>
      </c>
      <c r="N18" s="165"/>
      <c r="O18" s="181"/>
      <c r="P18" s="221" t="str">
        <f>IF(N18&gt;0,(N18*VLOOKUP(Lookups!$K$11,Lookups!$M$10:$P$43,4,0)/VLOOKUP(O18,Lookups!$M$10:$P$43,4,0)),"")</f>
        <v/>
      </c>
      <c r="Q18" s="143" t="s">
        <v>3211</v>
      </c>
      <c r="R18" s="181" t="s">
        <v>154</v>
      </c>
      <c r="S18" s="174" t="s">
        <v>2850</v>
      </c>
      <c r="T18" s="181" t="s">
        <v>923</v>
      </c>
      <c r="U18" s="4" t="s">
        <v>2832</v>
      </c>
    </row>
    <row r="19" spans="1:21" s="54" customFormat="1" ht="60" hidden="1" customHeight="1" outlineLevel="2" x14ac:dyDescent="0.25">
      <c r="A19" s="49" t="s">
        <v>219</v>
      </c>
      <c r="B19" s="49" t="s">
        <v>231</v>
      </c>
      <c r="C19" s="49" t="s">
        <v>37</v>
      </c>
      <c r="D19" s="223" t="s">
        <v>2849</v>
      </c>
      <c r="E19" s="175" t="s">
        <v>159</v>
      </c>
      <c r="F19" s="90" t="s">
        <v>162</v>
      </c>
      <c r="G19" s="90" t="s">
        <v>2692</v>
      </c>
      <c r="H19" s="193">
        <v>2634.06</v>
      </c>
      <c r="I19" s="181" t="s">
        <v>1520</v>
      </c>
      <c r="J19" s="221">
        <f>IF(H19&gt;0,(H19*VLOOKUP(Lookups!$K$11,Lookups!$M$10:$P$43,4,0)/VLOOKUP(I19,Lookups!$M$10:$P$43,4,0)),"")</f>
        <v>2712.8790357100493</v>
      </c>
      <c r="K19" s="165"/>
      <c r="L19" s="181"/>
      <c r="M19" s="221" t="str">
        <f>IF(K19&gt;0,(K19*VLOOKUP(Lookups!$K$11,Lookups!$M$10:$P$43,4,0)/VLOOKUP(L19,Lookups!$M$10:$P$43,4,0)),"")</f>
        <v/>
      </c>
      <c r="N19" s="165"/>
      <c r="O19" s="181"/>
      <c r="P19" s="221" t="str">
        <f>IF(N19&gt;0,(N19*VLOOKUP(Lookups!$K$11,Lookups!$M$10:$P$43,4,0)/VLOOKUP(O19,Lookups!$M$10:$P$43,4,0)),"")</f>
        <v/>
      </c>
      <c r="Q19" s="143" t="s">
        <v>3212</v>
      </c>
      <c r="R19" s="181" t="s">
        <v>154</v>
      </c>
      <c r="S19" s="174" t="s">
        <v>2851</v>
      </c>
      <c r="T19" s="181" t="s">
        <v>923</v>
      </c>
      <c r="U19" s="4" t="s">
        <v>2832</v>
      </c>
    </row>
    <row r="20" spans="1:21" s="56" customFormat="1" ht="60" hidden="1" customHeight="1" outlineLevel="1" collapsed="1" x14ac:dyDescent="0.25">
      <c r="A20" s="42" t="s">
        <v>219</v>
      </c>
      <c r="B20" s="42" t="s">
        <v>231</v>
      </c>
      <c r="C20" s="42" t="s">
        <v>427</v>
      </c>
      <c r="D20" s="42" t="s">
        <v>347</v>
      </c>
      <c r="E20" s="160" t="s">
        <v>170</v>
      </c>
      <c r="F20" s="160" t="s">
        <v>162</v>
      </c>
      <c r="G20" s="160" t="s">
        <v>2692</v>
      </c>
      <c r="H20" s="161">
        <v>4614</v>
      </c>
      <c r="I20" s="15" t="s">
        <v>196</v>
      </c>
      <c r="J20" s="17">
        <f>IF(H20&gt;0,(H20*VLOOKUP(Lookups!$K$11,Lookups!$M$10:$P$43,4,0)/VLOOKUP(I20,Lookups!$M$10:$P$43,4,0)),"")</f>
        <v>5883.6898417025268</v>
      </c>
      <c r="K20" s="161"/>
      <c r="L20" s="15"/>
      <c r="M20" s="17" t="str">
        <f>IF(K20&gt;0,(K20*VLOOKUP(Lookups!$K$11,Lookups!$M$10:$P$43,4,0)/VLOOKUP(L20,Lookups!$M$10:$P$43,4,0)),"")</f>
        <v/>
      </c>
      <c r="N20" s="161"/>
      <c r="O20" s="15"/>
      <c r="P20" s="17" t="str">
        <f>IF(N20&gt;0,(N20*VLOOKUP(Lookups!$K$11,Lookups!$M$10:$P$43,4,0)/VLOOKUP(O20,Lookups!$M$10:$P$43,4,0)),"")</f>
        <v/>
      </c>
      <c r="Q20" s="140" t="s">
        <v>350</v>
      </c>
      <c r="R20" s="15" t="s">
        <v>149</v>
      </c>
      <c r="S20" s="160" t="s">
        <v>521</v>
      </c>
      <c r="T20" s="181"/>
      <c r="U20" s="90"/>
    </row>
    <row r="21" spans="1:21" s="56" customFormat="1" ht="60" hidden="1" customHeight="1" outlineLevel="2" x14ac:dyDescent="0.25">
      <c r="A21" s="160" t="s">
        <v>219</v>
      </c>
      <c r="B21" s="160" t="s">
        <v>231</v>
      </c>
      <c r="C21" s="160" t="s">
        <v>2886</v>
      </c>
      <c r="D21" s="171" t="s">
        <v>348</v>
      </c>
      <c r="E21" s="160" t="s">
        <v>170</v>
      </c>
      <c r="F21" s="160" t="s">
        <v>162</v>
      </c>
      <c r="G21" s="160" t="s">
        <v>2692</v>
      </c>
      <c r="H21" s="161">
        <v>3475</v>
      </c>
      <c r="I21" s="15" t="s">
        <v>196</v>
      </c>
      <c r="J21" s="17">
        <f>IF(H21&gt;0,(H21*VLOOKUP(Lookups!$K$11,Lookups!$M$10:$P$43,4,0)/VLOOKUP(I21,Lookups!$M$10:$P$43,4,0)),"")</f>
        <v>4431.2575205713656</v>
      </c>
      <c r="K21" s="161"/>
      <c r="L21" s="15"/>
      <c r="M21" s="17" t="str">
        <f>IF(K21&gt;0,(K21*VLOOKUP(Lookups!$K$11,Lookups!$M$10:$P$43,4,0)/VLOOKUP(L21,Lookups!$M$10:$P$43,4,0)),"")</f>
        <v/>
      </c>
      <c r="N21" s="161"/>
      <c r="O21" s="15"/>
      <c r="P21" s="17" t="str">
        <f>IF(N21&gt;0,(N21*VLOOKUP(Lookups!$K$11,Lookups!$M$10:$P$43,4,0)/VLOOKUP(O21,Lookups!$M$10:$P$43,4,0)),"")</f>
        <v/>
      </c>
      <c r="Q21" s="140" t="s">
        <v>350</v>
      </c>
      <c r="R21" s="15" t="s">
        <v>149</v>
      </c>
      <c r="S21" s="160" t="s">
        <v>522</v>
      </c>
      <c r="T21" s="181"/>
      <c r="U21" s="90"/>
    </row>
    <row r="22" spans="1:21" s="56" customFormat="1" ht="60" hidden="1" customHeight="1" outlineLevel="2" x14ac:dyDescent="0.25">
      <c r="A22" s="160" t="s">
        <v>219</v>
      </c>
      <c r="B22" s="160" t="s">
        <v>231</v>
      </c>
      <c r="C22" s="160" t="s">
        <v>2887</v>
      </c>
      <c r="D22" s="171" t="s">
        <v>349</v>
      </c>
      <c r="E22" s="160" t="s">
        <v>170</v>
      </c>
      <c r="F22" s="160" t="s">
        <v>162</v>
      </c>
      <c r="G22" s="160" t="s">
        <v>2692</v>
      </c>
      <c r="H22" s="161">
        <v>1475</v>
      </c>
      <c r="I22" s="15" t="s">
        <v>196</v>
      </c>
      <c r="J22" s="17">
        <f>IF(H22&gt;0,(H22*VLOOKUP(Lookups!$K$11,Lookups!$M$10:$P$43,4,0)/VLOOKUP(I22,Lookups!$M$10:$P$43,4,0)),"")</f>
        <v>1880.8934799547524</v>
      </c>
      <c r="K22" s="161"/>
      <c r="L22" s="15"/>
      <c r="M22" s="17" t="str">
        <f>IF(K22&gt;0,(K22*VLOOKUP(Lookups!$K$11,Lookups!$M$10:$P$43,4,0)/VLOOKUP(L22,Lookups!$M$10:$P$43,4,0)),"")</f>
        <v/>
      </c>
      <c r="N22" s="161"/>
      <c r="O22" s="15"/>
      <c r="P22" s="17" t="str">
        <f>IF(N22&gt;0,(N22*VLOOKUP(Lookups!$K$11,Lookups!$M$10:$P$43,4,0)/VLOOKUP(O22,Lookups!$M$10:$P$43,4,0)),"")</f>
        <v/>
      </c>
      <c r="Q22" s="140" t="s">
        <v>350</v>
      </c>
      <c r="R22" s="15" t="s">
        <v>149</v>
      </c>
      <c r="S22" s="160" t="s">
        <v>523</v>
      </c>
      <c r="T22" s="181"/>
      <c r="U22" s="90"/>
    </row>
    <row r="23" spans="1:21" s="56" customFormat="1" ht="60" hidden="1" customHeight="1" outlineLevel="2" x14ac:dyDescent="0.25">
      <c r="A23" s="160" t="s">
        <v>219</v>
      </c>
      <c r="B23" s="160" t="s">
        <v>231</v>
      </c>
      <c r="C23" s="160" t="s">
        <v>2888</v>
      </c>
      <c r="D23" s="171" t="s">
        <v>351</v>
      </c>
      <c r="E23" s="160" t="s">
        <v>170</v>
      </c>
      <c r="F23" s="160" t="s">
        <v>162</v>
      </c>
      <c r="G23" s="160" t="s">
        <v>2692</v>
      </c>
      <c r="H23" s="161">
        <v>5055</v>
      </c>
      <c r="I23" s="15" t="s">
        <v>196</v>
      </c>
      <c r="J23" s="17">
        <f>IF(H23&gt;0,(H23*VLOOKUP(Lookups!$K$11,Lookups!$M$10:$P$43,4,0)/VLOOKUP(I23,Lookups!$M$10:$P$43,4,0)),"")</f>
        <v>6446.0451126584894</v>
      </c>
      <c r="K23" s="161"/>
      <c r="L23" s="15"/>
      <c r="M23" s="17" t="str">
        <f>IF(K23&gt;0,(K23*VLOOKUP(Lookups!$K$11,Lookups!$M$10:$P$43,4,0)/VLOOKUP(L23,Lookups!$M$10:$P$43,4,0)),"")</f>
        <v/>
      </c>
      <c r="N23" s="161"/>
      <c r="O23" s="15"/>
      <c r="P23" s="17" t="str">
        <f>IF(N23&gt;0,(N23*VLOOKUP(Lookups!$K$11,Lookups!$M$10:$P$43,4,0)/VLOOKUP(O23,Lookups!$M$10:$P$43,4,0)),"")</f>
        <v/>
      </c>
      <c r="Q23" s="140" t="s">
        <v>350</v>
      </c>
      <c r="R23" s="15" t="s">
        <v>149</v>
      </c>
      <c r="S23" s="160" t="s">
        <v>374</v>
      </c>
      <c r="T23" s="181"/>
      <c r="U23" s="90"/>
    </row>
    <row r="24" spans="1:21" s="56" customFormat="1" ht="60" hidden="1" customHeight="1" outlineLevel="2" x14ac:dyDescent="0.25">
      <c r="A24" s="160" t="s">
        <v>219</v>
      </c>
      <c r="B24" s="160" t="s">
        <v>231</v>
      </c>
      <c r="C24" s="160" t="s">
        <v>2889</v>
      </c>
      <c r="D24" s="171" t="s">
        <v>352</v>
      </c>
      <c r="E24" s="160" t="s">
        <v>170</v>
      </c>
      <c r="F24" s="160" t="s">
        <v>162</v>
      </c>
      <c r="G24" s="160" t="s">
        <v>2692</v>
      </c>
      <c r="H24" s="161">
        <v>11459</v>
      </c>
      <c r="I24" s="15" t="s">
        <v>196</v>
      </c>
      <c r="J24" s="17">
        <f>IF(H24&gt;0,(H24*VLOOKUP(Lookups!$K$11,Lookups!$M$10:$P$43,4,0)/VLOOKUP(I24,Lookups!$M$10:$P$43,4,0)),"")</f>
        <v>14612.310770712884</v>
      </c>
      <c r="K24" s="161"/>
      <c r="L24" s="15"/>
      <c r="M24" s="17" t="str">
        <f>IF(K24&gt;0,(K24*VLOOKUP(Lookups!$K$11,Lookups!$M$10:$P$43,4,0)/VLOOKUP(L24,Lookups!$M$10:$P$43,4,0)),"")</f>
        <v/>
      </c>
      <c r="N24" s="161"/>
      <c r="O24" s="15"/>
      <c r="P24" s="17" t="str">
        <f>IF(N24&gt;0,(N24*VLOOKUP(Lookups!$K$11,Lookups!$M$10:$P$43,4,0)/VLOOKUP(O24,Lookups!$M$10:$P$43,4,0)),"")</f>
        <v/>
      </c>
      <c r="Q24" s="140" t="s">
        <v>350</v>
      </c>
      <c r="R24" s="15" t="s">
        <v>149</v>
      </c>
      <c r="S24" s="160" t="s">
        <v>375</v>
      </c>
      <c r="T24" s="181"/>
      <c r="U24" s="90"/>
    </row>
    <row r="25" spans="1:21" s="56" customFormat="1" ht="60" hidden="1" customHeight="1" outlineLevel="2" x14ac:dyDescent="0.25">
      <c r="A25" s="160" t="s">
        <v>219</v>
      </c>
      <c r="B25" s="160" t="s">
        <v>231</v>
      </c>
      <c r="C25" s="160" t="s">
        <v>2890</v>
      </c>
      <c r="D25" s="171" t="s">
        <v>129</v>
      </c>
      <c r="E25" s="160" t="s">
        <v>170</v>
      </c>
      <c r="F25" s="160" t="s">
        <v>162</v>
      </c>
      <c r="G25" s="160" t="s">
        <v>2692</v>
      </c>
      <c r="H25" s="161">
        <v>1339</v>
      </c>
      <c r="I25" s="15" t="s">
        <v>196</v>
      </c>
      <c r="J25" s="17">
        <f>IF(H25&gt;0,(H25*VLOOKUP(Lookups!$K$11,Lookups!$M$10:$P$43,4,0)/VLOOKUP(I25,Lookups!$M$10:$P$43,4,0)),"")</f>
        <v>1707.4687251928226</v>
      </c>
      <c r="K25" s="161"/>
      <c r="L25" s="15"/>
      <c r="M25" s="17" t="str">
        <f>IF(K25&gt;0,(K25*VLOOKUP(Lookups!$K$11,Lookups!$M$10:$P$43,4,0)/VLOOKUP(L25,Lookups!$M$10:$P$43,4,0)),"")</f>
        <v/>
      </c>
      <c r="N25" s="161"/>
      <c r="O25" s="15"/>
      <c r="P25" s="17" t="str">
        <f>IF(N25&gt;0,(N25*VLOOKUP(Lookups!$K$11,Lookups!$M$10:$P$43,4,0)/VLOOKUP(O25,Lookups!$M$10:$P$43,4,0)),"")</f>
        <v/>
      </c>
      <c r="Q25" s="140" t="s">
        <v>350</v>
      </c>
      <c r="R25" s="15" t="s">
        <v>149</v>
      </c>
      <c r="S25" s="160" t="s">
        <v>377</v>
      </c>
      <c r="T25" s="181"/>
      <c r="U25" s="90"/>
    </row>
    <row r="26" spans="1:21" s="56" customFormat="1" ht="60" hidden="1" customHeight="1" outlineLevel="2" x14ac:dyDescent="0.25">
      <c r="A26" s="160" t="s">
        <v>219</v>
      </c>
      <c r="B26" s="160" t="s">
        <v>231</v>
      </c>
      <c r="C26" s="160" t="s">
        <v>2891</v>
      </c>
      <c r="D26" s="171" t="s">
        <v>130</v>
      </c>
      <c r="E26" s="160" t="s">
        <v>170</v>
      </c>
      <c r="F26" s="160" t="s">
        <v>162</v>
      </c>
      <c r="G26" s="160" t="s">
        <v>2692</v>
      </c>
      <c r="H26" s="161">
        <v>4348</v>
      </c>
      <c r="I26" s="15" t="s">
        <v>196</v>
      </c>
      <c r="J26" s="17">
        <f>IF(H26&gt;0,(H26*VLOOKUP(Lookups!$K$11,Lookups!$M$10:$P$43,4,0)/VLOOKUP(I26,Lookups!$M$10:$P$43,4,0)),"")</f>
        <v>5544.4914243005178</v>
      </c>
      <c r="K26" s="161"/>
      <c r="L26" s="15"/>
      <c r="M26" s="17" t="str">
        <f>IF(K26&gt;0,(K26*VLOOKUP(Lookups!$K$11,Lookups!$M$10:$P$43,4,0)/VLOOKUP(L26,Lookups!$M$10:$P$43,4,0)),"")</f>
        <v/>
      </c>
      <c r="N26" s="161"/>
      <c r="O26" s="15"/>
      <c r="P26" s="17" t="str">
        <f>IF(N26&gt;0,(N26*VLOOKUP(Lookups!$K$11,Lookups!$M$10:$P$43,4,0)/VLOOKUP(O26,Lookups!$M$10:$P$43,4,0)),"")</f>
        <v/>
      </c>
      <c r="Q26" s="140" t="s">
        <v>350</v>
      </c>
      <c r="R26" s="15" t="s">
        <v>149</v>
      </c>
      <c r="S26" s="160" t="s">
        <v>376</v>
      </c>
      <c r="T26" s="181"/>
      <c r="U26" s="90"/>
    </row>
    <row r="27" spans="1:21" s="56" customFormat="1" ht="60" hidden="1" customHeight="1" outlineLevel="1" x14ac:dyDescent="0.25">
      <c r="A27" s="42" t="s">
        <v>219</v>
      </c>
      <c r="B27" s="42" t="s">
        <v>231</v>
      </c>
      <c r="C27" s="42" t="s">
        <v>437</v>
      </c>
      <c r="D27" s="42" t="s">
        <v>277</v>
      </c>
      <c r="E27" s="175" t="s">
        <v>278</v>
      </c>
      <c r="F27" s="160" t="s">
        <v>162</v>
      </c>
      <c r="G27" s="160" t="s">
        <v>2692</v>
      </c>
      <c r="H27" s="165">
        <v>2467</v>
      </c>
      <c r="I27" s="15" t="s">
        <v>195</v>
      </c>
      <c r="J27" s="17">
        <f>IF(H27&gt;0,(H27*VLOOKUP(Lookups!$K$11,Lookups!$M$10:$P$43,4,0)/VLOOKUP(I27,Lookups!$M$10:$P$43,4,0)),"")</f>
        <v>3198.3344100098047</v>
      </c>
      <c r="K27" s="165"/>
      <c r="L27" s="15"/>
      <c r="M27" s="17" t="str">
        <f>IF(K27&gt;0,(K27*VLOOKUP(Lookups!$K$11,Lookups!$M$10:$P$43,4,0)/VLOOKUP(L27,Lookups!$M$10:$P$43,4,0)),"")</f>
        <v/>
      </c>
      <c r="N27" s="165"/>
      <c r="O27" s="15"/>
      <c r="P27" s="17" t="str">
        <f>IF(N27&gt;0,(N27*VLOOKUP(Lookups!$K$11,Lookups!$M$10:$P$43,4,0)/VLOOKUP(O27,Lookups!$M$10:$P$43,4,0)),"")</f>
        <v/>
      </c>
      <c r="Q27" s="140" t="s">
        <v>379</v>
      </c>
      <c r="R27" s="15" t="s">
        <v>149</v>
      </c>
      <c r="S27" s="90" t="s">
        <v>3041</v>
      </c>
      <c r="T27" s="181"/>
      <c r="U27" s="90"/>
    </row>
    <row r="28" spans="1:21" s="54" customFormat="1" ht="60" hidden="1" customHeight="1" outlineLevel="1" x14ac:dyDescent="0.25">
      <c r="A28" s="42" t="s">
        <v>219</v>
      </c>
      <c r="B28" s="42" t="s">
        <v>231</v>
      </c>
      <c r="C28" s="42" t="s">
        <v>2892</v>
      </c>
      <c r="D28" s="42" t="s">
        <v>115</v>
      </c>
      <c r="E28" s="90" t="s">
        <v>159</v>
      </c>
      <c r="F28" s="90" t="s">
        <v>162</v>
      </c>
      <c r="G28" s="90" t="s">
        <v>2692</v>
      </c>
      <c r="H28" s="193">
        <v>1813</v>
      </c>
      <c r="I28" s="181" t="s">
        <v>1520</v>
      </c>
      <c r="J28" s="221">
        <f>IF(H28&gt;0,(H28*VLOOKUP(Lookups!$K$11,Lookups!$M$10:$P$43,4,0)/VLOOKUP(I28,Lookups!$M$10:$P$43,4,0)),"")</f>
        <v>1867.2504391480525</v>
      </c>
      <c r="K28" s="165"/>
      <c r="L28" s="181"/>
      <c r="M28" s="221" t="str">
        <f>IF(K28&gt;0,(K28*VLOOKUP(Lookups!$K$11,Lookups!$M$10:$P$43,4,0)/VLOOKUP(L28,Lookups!$M$10:$P$43,4,0)),"")</f>
        <v/>
      </c>
      <c r="N28" s="165"/>
      <c r="O28" s="181"/>
      <c r="P28" s="221" t="str">
        <f>IF(N28&gt;0,(N28*VLOOKUP(Lookups!$K$11,Lookups!$M$10:$P$43,4,0)/VLOOKUP(O28,Lookups!$M$10:$P$43,4,0)),"")</f>
        <v/>
      </c>
      <c r="Q28" s="173" t="s">
        <v>3213</v>
      </c>
      <c r="R28" s="231" t="s">
        <v>154</v>
      </c>
      <c r="S28" s="174" t="s">
        <v>2852</v>
      </c>
      <c r="T28" s="181" t="s">
        <v>923</v>
      </c>
      <c r="U28" s="4" t="s">
        <v>2832</v>
      </c>
    </row>
    <row r="29" spans="1:21" s="54" customFormat="1" ht="60" hidden="1" customHeight="1" outlineLevel="1" x14ac:dyDescent="0.25">
      <c r="A29" s="50" t="s">
        <v>219</v>
      </c>
      <c r="B29" s="50" t="s">
        <v>231</v>
      </c>
      <c r="C29" s="50" t="s">
        <v>2893</v>
      </c>
      <c r="D29" s="50" t="s">
        <v>266</v>
      </c>
      <c r="E29" s="90" t="s">
        <v>159</v>
      </c>
      <c r="F29" s="90" t="s">
        <v>162</v>
      </c>
      <c r="G29" s="90" t="s">
        <v>2692</v>
      </c>
      <c r="H29" s="193">
        <v>1216</v>
      </c>
      <c r="I29" s="181" t="s">
        <v>1520</v>
      </c>
      <c r="J29" s="221">
        <f>IF(H29&gt;0,(H29*VLOOKUP(Lookups!$K$11,Lookups!$M$10:$P$43,4,0)/VLOOKUP(I29,Lookups!$M$10:$P$43,4,0)),"")</f>
        <v>1252.3863949277618</v>
      </c>
      <c r="K29" s="165"/>
      <c r="L29" s="181"/>
      <c r="M29" s="221" t="str">
        <f>IF(K29&gt;0,(K29*VLOOKUP(Lookups!$K$11,Lookups!$M$10:$P$43,4,0)/VLOOKUP(L29,Lookups!$M$10:$P$43,4,0)),"")</f>
        <v/>
      </c>
      <c r="N29" s="165"/>
      <c r="O29" s="181"/>
      <c r="P29" s="221" t="str">
        <f>IF(N29&gt;0,(N29*VLOOKUP(Lookups!$K$11,Lookups!$M$10:$P$43,4,0)/VLOOKUP(O29,Lookups!$M$10:$P$43,4,0)),"")</f>
        <v/>
      </c>
      <c r="Q29" s="173" t="s">
        <v>3214</v>
      </c>
      <c r="R29" s="181" t="s">
        <v>154</v>
      </c>
      <c r="S29" s="174" t="s">
        <v>2853</v>
      </c>
      <c r="T29" s="181" t="s">
        <v>923</v>
      </c>
      <c r="U29" s="4" t="s">
        <v>2832</v>
      </c>
    </row>
    <row r="30" spans="1:21" s="54" customFormat="1" ht="60" hidden="1" customHeight="1" outlineLevel="1" x14ac:dyDescent="0.25">
      <c r="A30" s="50" t="s">
        <v>219</v>
      </c>
      <c r="B30" s="50" t="s">
        <v>231</v>
      </c>
      <c r="C30" s="50" t="s">
        <v>2894</v>
      </c>
      <c r="D30" s="50" t="s">
        <v>2854</v>
      </c>
      <c r="E30" s="90" t="s">
        <v>170</v>
      </c>
      <c r="F30" s="90" t="s">
        <v>162</v>
      </c>
      <c r="G30" s="90" t="s">
        <v>2692</v>
      </c>
      <c r="H30" s="193">
        <v>111</v>
      </c>
      <c r="I30" s="181" t="s">
        <v>1520</v>
      </c>
      <c r="J30" s="221">
        <f>IF(H30&gt;0,(H30*VLOOKUP(Lookups!$K$11,Lookups!$M$10:$P$43,4,0)/VLOOKUP(I30,Lookups!$M$10:$P$43,4,0)),"")</f>
        <v>114.32145545804403</v>
      </c>
      <c r="K30" s="165"/>
      <c r="L30" s="181"/>
      <c r="M30" s="221" t="str">
        <f>IF(K30&gt;0,(K30*VLOOKUP(Lookups!$K$11,Lookups!$M$10:$P$43,4,0)/VLOOKUP(L30,Lookups!$M$10:$P$43,4,0)),"")</f>
        <v/>
      </c>
      <c r="N30" s="165"/>
      <c r="O30" s="181"/>
      <c r="P30" s="221" t="str">
        <f>IF(N30&gt;0,(N30*VLOOKUP(Lookups!$K$11,Lookups!$M$10:$P$43,4,0)/VLOOKUP(O30,Lookups!$M$10:$P$43,4,0)),"")</f>
        <v/>
      </c>
      <c r="Q30" s="173" t="s">
        <v>3215</v>
      </c>
      <c r="R30" s="181" t="s">
        <v>154</v>
      </c>
      <c r="S30" s="174" t="s">
        <v>3048</v>
      </c>
      <c r="T30" s="181" t="s">
        <v>923</v>
      </c>
      <c r="U30" s="4" t="s">
        <v>2832</v>
      </c>
    </row>
    <row r="31" spans="1:21" s="54" customFormat="1" ht="60" hidden="1" customHeight="1" outlineLevel="1" x14ac:dyDescent="0.25">
      <c r="A31" s="50" t="s">
        <v>219</v>
      </c>
      <c r="B31" s="50" t="s">
        <v>231</v>
      </c>
      <c r="C31" s="50" t="s">
        <v>2895</v>
      </c>
      <c r="D31" s="50" t="s">
        <v>2345</v>
      </c>
      <c r="E31" s="90" t="s">
        <v>170</v>
      </c>
      <c r="F31" s="90" t="s">
        <v>162</v>
      </c>
      <c r="G31" s="90" t="s">
        <v>2692</v>
      </c>
      <c r="H31" s="193">
        <v>9156</v>
      </c>
      <c r="I31" s="181" t="s">
        <v>1520</v>
      </c>
      <c r="J31" s="221">
        <f>IF(H31&gt;0,(H31*VLOOKUP(Lookups!$K$11,Lookups!$M$10:$P$43,4,0)/VLOOKUP(I31,Lookups!$M$10:$P$43,4,0)),"")</f>
        <v>9429.9751907554146</v>
      </c>
      <c r="K31" s="165"/>
      <c r="L31" s="181"/>
      <c r="M31" s="221" t="str">
        <f>IF(K31&gt;0,(K31*VLOOKUP(Lookups!$K$11,Lookups!$M$10:$P$43,4,0)/VLOOKUP(L31,Lookups!$M$10:$P$43,4,0)),"")</f>
        <v/>
      </c>
      <c r="N31" s="165"/>
      <c r="O31" s="181"/>
      <c r="P31" s="221" t="str">
        <f>IF(N31&gt;0,(N31*VLOOKUP(Lookups!$K$11,Lookups!$M$10:$P$43,4,0)/VLOOKUP(O31,Lookups!$M$10:$P$43,4,0)),"")</f>
        <v/>
      </c>
      <c r="Q31" s="173" t="s">
        <v>3216</v>
      </c>
      <c r="R31" s="181" t="s">
        <v>154</v>
      </c>
      <c r="S31" s="174" t="s">
        <v>2855</v>
      </c>
      <c r="T31" s="181" t="s">
        <v>923</v>
      </c>
      <c r="U31" s="4" t="s">
        <v>2832</v>
      </c>
    </row>
    <row r="32" spans="1:21" s="54" customFormat="1" ht="60" hidden="1" customHeight="1" outlineLevel="1" x14ac:dyDescent="0.25">
      <c r="A32" s="50" t="s">
        <v>219</v>
      </c>
      <c r="B32" s="50" t="s">
        <v>231</v>
      </c>
      <c r="C32" s="50" t="s">
        <v>2896</v>
      </c>
      <c r="D32" s="50" t="s">
        <v>2346</v>
      </c>
      <c r="E32" s="90" t="s">
        <v>170</v>
      </c>
      <c r="F32" s="90" t="s">
        <v>162</v>
      </c>
      <c r="G32" s="90" t="s">
        <v>2692</v>
      </c>
      <c r="H32" s="193">
        <v>11399</v>
      </c>
      <c r="I32" s="181" t="s">
        <v>1520</v>
      </c>
      <c r="J32" s="221">
        <f>IF(H32&gt;0,(H32*VLOOKUP(Lookups!$K$11,Lookups!$M$10:$P$43,4,0)/VLOOKUP(I32,Lookups!$M$10:$P$43,4,0)),"")</f>
        <v>11740.092529425621</v>
      </c>
      <c r="K32" s="165"/>
      <c r="L32" s="181"/>
      <c r="M32" s="221" t="str">
        <f>IF(K32&gt;0,(K32*VLOOKUP(Lookups!$K$11,Lookups!$M$10:$P$43,4,0)/VLOOKUP(L32,Lookups!$M$10:$P$43,4,0)),"")</f>
        <v/>
      </c>
      <c r="N32" s="165"/>
      <c r="O32" s="181"/>
      <c r="P32" s="221" t="str">
        <f>IF(N32&gt;0,(N32*VLOOKUP(Lookups!$K$11,Lookups!$M$10:$P$43,4,0)/VLOOKUP(O32,Lookups!$M$10:$P$43,4,0)),"")</f>
        <v/>
      </c>
      <c r="Q32" s="173" t="s">
        <v>3217</v>
      </c>
      <c r="R32" s="181" t="s">
        <v>154</v>
      </c>
      <c r="S32" s="174" t="s">
        <v>2856</v>
      </c>
      <c r="T32" s="181" t="s">
        <v>923</v>
      </c>
      <c r="U32" s="4" t="s">
        <v>2832</v>
      </c>
    </row>
    <row r="33" spans="1:21" s="36" customFormat="1" ht="60" hidden="1" customHeight="1" outlineLevel="1" collapsed="1" x14ac:dyDescent="0.25">
      <c r="A33" s="42" t="s">
        <v>219</v>
      </c>
      <c r="B33" s="42" t="s">
        <v>231</v>
      </c>
      <c r="C33" s="42" t="s">
        <v>2897</v>
      </c>
      <c r="D33" s="42" t="s">
        <v>145</v>
      </c>
      <c r="E33" s="12" t="s">
        <v>170</v>
      </c>
      <c r="F33" s="12" t="s">
        <v>162</v>
      </c>
      <c r="G33" s="4" t="s">
        <v>667</v>
      </c>
      <c r="H33" s="14">
        <v>15331</v>
      </c>
      <c r="I33" s="15" t="s">
        <v>259</v>
      </c>
      <c r="J33" s="17">
        <f>IF(H33&gt;0,(H33*VLOOKUP(Lookups!$K$11,Lookups!$M$10:$P$43,4,0)/VLOOKUP(I33,Lookups!$M$10:$P$43,4,0)),"")</f>
        <v>17435.893361310966</v>
      </c>
      <c r="K33" s="14">
        <v>3363</v>
      </c>
      <c r="L33" s="15" t="s">
        <v>259</v>
      </c>
      <c r="M33" s="17">
        <f>IF(K33&gt;0,(K33*VLOOKUP(Lookups!$K$11,Lookups!$M$10:$P$43,4,0)/VLOOKUP(L33,Lookups!$M$10:$P$43,4,0)),"")</f>
        <v>3824.7282873973513</v>
      </c>
      <c r="N33" s="14"/>
      <c r="O33" s="15"/>
      <c r="P33" s="17" t="str">
        <f>IF(N33&gt;0,(N33*VLOOKUP(Lookups!$K$11,Lookups!$M$10:$P$43,4,0)/VLOOKUP(O33,Lookups!$M$10:$P$43,4,0)),"")</f>
        <v/>
      </c>
      <c r="Q33" s="142" t="s">
        <v>2040</v>
      </c>
      <c r="R33" s="15" t="s">
        <v>152</v>
      </c>
      <c r="S33" s="12" t="s">
        <v>2018</v>
      </c>
      <c r="T33" s="176"/>
      <c r="U33" s="4"/>
    </row>
    <row r="34" spans="1:21" s="56" customFormat="1" ht="60" hidden="1" customHeight="1" outlineLevel="2" x14ac:dyDescent="0.25">
      <c r="A34" s="160" t="s">
        <v>219</v>
      </c>
      <c r="B34" s="160" t="s">
        <v>231</v>
      </c>
      <c r="C34" s="160" t="s">
        <v>2898</v>
      </c>
      <c r="D34" s="171" t="s">
        <v>143</v>
      </c>
      <c r="E34" s="160" t="s">
        <v>170</v>
      </c>
      <c r="F34" s="160" t="s">
        <v>162</v>
      </c>
      <c r="G34" s="160" t="s">
        <v>2692</v>
      </c>
      <c r="H34" s="161">
        <v>8606</v>
      </c>
      <c r="I34" s="15" t="s">
        <v>259</v>
      </c>
      <c r="J34" s="17">
        <f>IF(H34&gt;0,(H34*VLOOKUP(Lookups!$K$11,Lookups!$M$10:$P$43,4,0)/VLOOKUP(I34,Lookups!$M$10:$P$43,4,0)),"")</f>
        <v>9787.5740830632185</v>
      </c>
      <c r="K34" s="161"/>
      <c r="L34" s="15"/>
      <c r="M34" s="17" t="str">
        <f>IF(K34&gt;0,(K34*VLOOKUP(Lookups!$K$11,Lookups!$M$10:$P$43,4,0)/VLOOKUP(L34,Lookups!$M$10:$P$43,4,0)),"")</f>
        <v/>
      </c>
      <c r="N34" s="161"/>
      <c r="O34" s="15"/>
      <c r="P34" s="17" t="str">
        <f>IF(N34&gt;0,(N34*VLOOKUP(Lookups!$K$11,Lookups!$M$10:$P$43,4,0)/VLOOKUP(O34,Lookups!$M$10:$P$43,4,0)),"")</f>
        <v/>
      </c>
      <c r="Q34" s="142" t="s">
        <v>2040</v>
      </c>
      <c r="R34" s="15" t="s">
        <v>152</v>
      </c>
      <c r="S34" s="160" t="s">
        <v>2017</v>
      </c>
      <c r="T34" s="181"/>
      <c r="U34" s="90"/>
    </row>
    <row r="35" spans="1:21" s="56" customFormat="1" ht="60" hidden="1" customHeight="1" outlineLevel="2" x14ac:dyDescent="0.25">
      <c r="A35" s="160" t="s">
        <v>219</v>
      </c>
      <c r="B35" s="160" t="s">
        <v>231</v>
      </c>
      <c r="C35" s="160" t="s">
        <v>2899</v>
      </c>
      <c r="D35" s="171" t="s">
        <v>144</v>
      </c>
      <c r="E35" s="160" t="s">
        <v>170</v>
      </c>
      <c r="F35" s="160" t="s">
        <v>210</v>
      </c>
      <c r="G35" s="90" t="s">
        <v>631</v>
      </c>
      <c r="H35" s="161">
        <v>6725</v>
      </c>
      <c r="I35" s="15" t="s">
        <v>259</v>
      </c>
      <c r="J35" s="17">
        <f>IF(H35&gt;0,(H35*VLOOKUP(Lookups!$K$11,Lookups!$M$10:$P$43,4,0)/VLOOKUP(I35,Lookups!$M$10:$P$43,4,0)),"")</f>
        <v>7648.3192782477508</v>
      </c>
      <c r="K35" s="161"/>
      <c r="L35" s="15"/>
      <c r="M35" s="17" t="str">
        <f>IF(K35&gt;0,(K35*VLOOKUP(Lookups!$K$11,Lookups!$M$10:$P$43,4,0)/VLOOKUP(L35,Lookups!$M$10:$P$43,4,0)),"")</f>
        <v/>
      </c>
      <c r="N35" s="161"/>
      <c r="O35" s="15"/>
      <c r="P35" s="17" t="str">
        <f>IF(N35&gt;0,(N35*VLOOKUP(Lookups!$K$11,Lookups!$M$10:$P$43,4,0)/VLOOKUP(O35,Lookups!$M$10:$P$43,4,0)),"")</f>
        <v/>
      </c>
      <c r="Q35" s="142" t="s">
        <v>2040</v>
      </c>
      <c r="R35" s="15" t="s">
        <v>152</v>
      </c>
      <c r="S35" s="160" t="s">
        <v>2017</v>
      </c>
      <c r="T35" s="181"/>
      <c r="U35" s="90"/>
    </row>
    <row r="36" spans="1:21" s="56" customFormat="1" ht="60" hidden="1" customHeight="1" outlineLevel="1" collapsed="1" x14ac:dyDescent="0.25">
      <c r="A36" s="42" t="s">
        <v>219</v>
      </c>
      <c r="B36" s="42" t="s">
        <v>231</v>
      </c>
      <c r="C36" s="42" t="s">
        <v>2900</v>
      </c>
      <c r="D36" s="42" t="s">
        <v>2019</v>
      </c>
      <c r="E36" s="160" t="s">
        <v>170</v>
      </c>
      <c r="F36" s="160" t="s">
        <v>162</v>
      </c>
      <c r="G36" s="160" t="s">
        <v>2692</v>
      </c>
      <c r="H36" s="161">
        <v>4174</v>
      </c>
      <c r="I36" s="15" t="s">
        <v>258</v>
      </c>
      <c r="J36" s="17">
        <f>IF(H36&gt;0,(H36*VLOOKUP(Lookups!$K$11,Lookups!$M$10:$P$43,4,0)/VLOOKUP(I36,Lookups!$M$10:$P$43,4,0)),"")</f>
        <v>4828.8266393076829</v>
      </c>
      <c r="K36" s="161"/>
      <c r="L36" s="15"/>
      <c r="M36" s="17" t="str">
        <f>IF(K36&gt;0,(K36*VLOOKUP(Lookups!$K$11,Lookups!$M$10:$P$43,4,0)/VLOOKUP(L36,Lookups!$M$10:$P$43,4,0)),"")</f>
        <v/>
      </c>
      <c r="N36" s="161"/>
      <c r="O36" s="15"/>
      <c r="P36" s="17" t="str">
        <f>IF(N36&gt;0,(N36*VLOOKUP(Lookups!$K$11,Lookups!$M$10:$P$43,4,0)/VLOOKUP(O36,Lookups!$M$10:$P$43,4,0)),"")</f>
        <v/>
      </c>
      <c r="Q36" s="82" t="s">
        <v>2020</v>
      </c>
      <c r="R36" s="15" t="s">
        <v>152</v>
      </c>
      <c r="S36" s="160" t="s">
        <v>3042</v>
      </c>
      <c r="T36" s="181"/>
      <c r="U36" s="90"/>
    </row>
    <row r="37" spans="1:21" s="36" customFormat="1" ht="60" hidden="1" customHeight="1" outlineLevel="2" x14ac:dyDescent="0.25">
      <c r="A37" s="12" t="s">
        <v>219</v>
      </c>
      <c r="B37" s="12" t="s">
        <v>231</v>
      </c>
      <c r="C37" s="12" t="s">
        <v>2901</v>
      </c>
      <c r="D37" s="203" t="s">
        <v>102</v>
      </c>
      <c r="E37" s="12" t="s">
        <v>170</v>
      </c>
      <c r="F37" s="12" t="s">
        <v>162</v>
      </c>
      <c r="G37" s="12" t="s">
        <v>2692</v>
      </c>
      <c r="H37" s="14">
        <v>2014</v>
      </c>
      <c r="I37" s="15" t="s">
        <v>186</v>
      </c>
      <c r="J37" s="17">
        <f>IF(H37&gt;0,(H37*VLOOKUP(Lookups!$K$11,Lookups!$M$10:$P$43,4,0)/VLOOKUP(I37,Lookups!$M$10:$P$43,4,0)),"")</f>
        <v>3275.7233873604482</v>
      </c>
      <c r="K37" s="14"/>
      <c r="L37" s="15"/>
      <c r="M37" s="17" t="str">
        <f>IF(K37&gt;0,(K37*VLOOKUP(Lookups!$K$11,Lookups!$M$10:$P$43,4,0)/VLOOKUP(L37,Lookups!$M$10:$P$43,4,0)),"")</f>
        <v/>
      </c>
      <c r="N37" s="14"/>
      <c r="O37" s="15"/>
      <c r="P37" s="17" t="str">
        <f>IF(N37&gt;0,(N37*VLOOKUP(Lookups!$K$11,Lookups!$M$10:$P$43,4,0)/VLOOKUP(O37,Lookups!$M$10:$P$43,4,0)),"")</f>
        <v/>
      </c>
      <c r="Q37" s="143" t="s">
        <v>100</v>
      </c>
      <c r="R37" s="15" t="s">
        <v>149</v>
      </c>
      <c r="S37" s="12" t="s">
        <v>1296</v>
      </c>
      <c r="T37" s="176"/>
      <c r="U37" s="4"/>
    </row>
    <row r="38" spans="1:21" s="56" customFormat="1" ht="60" hidden="1" customHeight="1" outlineLevel="2" x14ac:dyDescent="0.25">
      <c r="A38" s="34" t="s">
        <v>219</v>
      </c>
      <c r="B38" s="34" t="s">
        <v>231</v>
      </c>
      <c r="C38" s="34" t="s">
        <v>2902</v>
      </c>
      <c r="D38" s="41" t="s">
        <v>101</v>
      </c>
      <c r="E38" s="160" t="s">
        <v>170</v>
      </c>
      <c r="F38" s="160" t="s">
        <v>162</v>
      </c>
      <c r="G38" s="160" t="s">
        <v>2692</v>
      </c>
      <c r="H38" s="161">
        <v>2353</v>
      </c>
      <c r="I38" s="15" t="s">
        <v>186</v>
      </c>
      <c r="J38" s="17">
        <f>IF(H38&gt;0,(H38*VLOOKUP(Lookups!$K$11,Lookups!$M$10:$P$43,4,0)/VLOOKUP(I38,Lookups!$M$10:$P$43,4,0)),"")</f>
        <v>3827.0988731177431</v>
      </c>
      <c r="K38" s="161"/>
      <c r="L38" s="15"/>
      <c r="M38" s="17" t="str">
        <f>IF(K38&gt;0,(K38*VLOOKUP(Lookups!$K$11,Lookups!$M$10:$P$43,4,0)/VLOOKUP(L38,Lookups!$M$10:$P$43,4,0)),"")</f>
        <v/>
      </c>
      <c r="N38" s="161"/>
      <c r="O38" s="15"/>
      <c r="P38" s="17" t="str">
        <f>IF(N38&gt;0,(N38*VLOOKUP(Lookups!$K$11,Lookups!$M$10:$P$43,4,0)/VLOOKUP(O38,Lookups!$M$10:$P$43,4,0)),"")</f>
        <v/>
      </c>
      <c r="Q38" s="143" t="s">
        <v>100</v>
      </c>
      <c r="R38" s="15" t="s">
        <v>149</v>
      </c>
      <c r="S38" s="160" t="s">
        <v>1297</v>
      </c>
      <c r="T38" s="181"/>
      <c r="U38" s="90"/>
    </row>
    <row r="39" spans="1:21" s="56" customFormat="1" ht="60" hidden="1" customHeight="1" outlineLevel="2" x14ac:dyDescent="0.25">
      <c r="A39" s="34" t="s">
        <v>219</v>
      </c>
      <c r="B39" s="34" t="s">
        <v>231</v>
      </c>
      <c r="C39" s="34" t="s">
        <v>2903</v>
      </c>
      <c r="D39" s="41" t="s">
        <v>103</v>
      </c>
      <c r="E39" s="160" t="s">
        <v>170</v>
      </c>
      <c r="F39" s="160" t="s">
        <v>162</v>
      </c>
      <c r="G39" s="160" t="s">
        <v>2692</v>
      </c>
      <c r="H39" s="161">
        <v>2026</v>
      </c>
      <c r="I39" s="15" t="s">
        <v>186</v>
      </c>
      <c r="J39" s="17">
        <f>IF(H39&gt;0,(H39*VLOOKUP(Lookups!$K$11,Lookups!$M$10:$P$43,4,0)/VLOOKUP(I39,Lookups!$M$10:$P$43,4,0)),"")</f>
        <v>3295.2411036704411</v>
      </c>
      <c r="K39" s="161"/>
      <c r="L39" s="15"/>
      <c r="M39" s="17" t="str">
        <f>IF(K39&gt;0,(K39*VLOOKUP(Lookups!$K$11,Lookups!$M$10:$P$43,4,0)/VLOOKUP(L39,Lookups!$M$10:$P$43,4,0)),"")</f>
        <v/>
      </c>
      <c r="N39" s="161"/>
      <c r="O39" s="15"/>
      <c r="P39" s="17" t="str">
        <f>IF(N39&gt;0,(N39*VLOOKUP(Lookups!$K$11,Lookups!$M$10:$P$43,4,0)/VLOOKUP(O39,Lookups!$M$10:$P$43,4,0)),"")</f>
        <v/>
      </c>
      <c r="Q39" s="143" t="s">
        <v>100</v>
      </c>
      <c r="R39" s="15" t="s">
        <v>149</v>
      </c>
      <c r="S39" s="160" t="s">
        <v>1298</v>
      </c>
      <c r="T39" s="181"/>
      <c r="U39" s="90"/>
    </row>
    <row r="40" spans="1:21" s="56" customFormat="1" ht="60" hidden="1" customHeight="1" outlineLevel="2" x14ac:dyDescent="0.25">
      <c r="A40" s="34" t="s">
        <v>219</v>
      </c>
      <c r="B40" s="34" t="s">
        <v>231</v>
      </c>
      <c r="C40" s="34" t="s">
        <v>2904</v>
      </c>
      <c r="D40" s="41" t="s">
        <v>104</v>
      </c>
      <c r="E40" s="160" t="s">
        <v>170</v>
      </c>
      <c r="F40" s="160" t="s">
        <v>162</v>
      </c>
      <c r="G40" s="160" t="s">
        <v>2692</v>
      </c>
      <c r="H40" s="161">
        <v>2179</v>
      </c>
      <c r="I40" s="15" t="s">
        <v>186</v>
      </c>
      <c r="J40" s="17">
        <f>IF(H40&gt;0,(H40*VLOOKUP(Lookups!$K$11,Lookups!$M$10:$P$43,4,0)/VLOOKUP(I40,Lookups!$M$10:$P$43,4,0)),"")</f>
        <v>3544.0919866228478</v>
      </c>
      <c r="K40" s="161"/>
      <c r="L40" s="15"/>
      <c r="M40" s="17" t="str">
        <f>IF(K40&gt;0,(K40*VLOOKUP(Lookups!$K$11,Lookups!$M$10:$P$43,4,0)/VLOOKUP(L40,Lookups!$M$10:$P$43,4,0)),"")</f>
        <v/>
      </c>
      <c r="N40" s="161"/>
      <c r="O40" s="15"/>
      <c r="P40" s="17" t="str">
        <f>IF(N40&gt;0,(N40*VLOOKUP(Lookups!$K$11,Lookups!$M$10:$P$43,4,0)/VLOOKUP(O40,Lookups!$M$10:$P$43,4,0)),"")</f>
        <v/>
      </c>
      <c r="Q40" s="143" t="s">
        <v>100</v>
      </c>
      <c r="R40" s="15" t="s">
        <v>149</v>
      </c>
      <c r="S40" s="160" t="s">
        <v>1299</v>
      </c>
      <c r="T40" s="181"/>
      <c r="U40" s="90"/>
    </row>
    <row r="41" spans="1:21" s="56" customFormat="1" ht="60" hidden="1" customHeight="1" outlineLevel="2" x14ac:dyDescent="0.25">
      <c r="A41" s="34" t="s">
        <v>219</v>
      </c>
      <c r="B41" s="34" t="s">
        <v>231</v>
      </c>
      <c r="C41" s="34" t="s">
        <v>2905</v>
      </c>
      <c r="D41" s="41" t="s">
        <v>274</v>
      </c>
      <c r="E41" s="160" t="s">
        <v>170</v>
      </c>
      <c r="F41" s="160" t="s">
        <v>162</v>
      </c>
      <c r="G41" s="160" t="s">
        <v>2692</v>
      </c>
      <c r="H41" s="161">
        <v>1844</v>
      </c>
      <c r="I41" s="15" t="s">
        <v>186</v>
      </c>
      <c r="J41" s="17">
        <f>IF(H41&gt;0,(H41*VLOOKUP(Lookups!$K$11,Lookups!$M$10:$P$43,4,0)/VLOOKUP(I41,Lookups!$M$10:$P$43,4,0)),"")</f>
        <v>2999.2224063022177</v>
      </c>
      <c r="K41" s="161"/>
      <c r="L41" s="15"/>
      <c r="M41" s="17" t="str">
        <f>IF(K41&gt;0,(K41*VLOOKUP(Lookups!$K$11,Lookups!$M$10:$P$43,4,0)/VLOOKUP(L41,Lookups!$M$10:$P$43,4,0)),"")</f>
        <v/>
      </c>
      <c r="N41" s="161"/>
      <c r="O41" s="15"/>
      <c r="P41" s="17" t="str">
        <f>IF(N41&gt;0,(N41*VLOOKUP(Lookups!$K$11,Lookups!$M$10:$P$43,4,0)/VLOOKUP(O41,Lookups!$M$10:$P$43,4,0)),"")</f>
        <v/>
      </c>
      <c r="Q41" s="143" t="s">
        <v>100</v>
      </c>
      <c r="R41" s="15" t="s">
        <v>149</v>
      </c>
      <c r="S41" s="160" t="s">
        <v>1300</v>
      </c>
      <c r="T41" s="181"/>
      <c r="U41" s="90"/>
    </row>
    <row r="42" spans="1:21" s="54" customFormat="1" ht="60" hidden="1" customHeight="1" outlineLevel="1" x14ac:dyDescent="0.25">
      <c r="A42" s="50" t="s">
        <v>219</v>
      </c>
      <c r="B42" s="50" t="s">
        <v>231</v>
      </c>
      <c r="C42" s="50" t="s">
        <v>3059</v>
      </c>
      <c r="D42" s="50" t="s">
        <v>2347</v>
      </c>
      <c r="E42" s="164" t="s">
        <v>170</v>
      </c>
      <c r="F42" s="90" t="s">
        <v>162</v>
      </c>
      <c r="G42" s="90" t="s">
        <v>2692</v>
      </c>
      <c r="H42" s="193">
        <v>1333</v>
      </c>
      <c r="I42" s="181" t="s">
        <v>1520</v>
      </c>
      <c r="J42" s="221">
        <f>IF(H42&gt;0,(H42*VLOOKUP(Lookups!$K$11,Lookups!$M$10:$P$43,4,0)/VLOOKUP(I42,Lookups!$M$10:$P$43,4,0)),"")</f>
        <v>1372.8873885186729</v>
      </c>
      <c r="K42" s="165"/>
      <c r="L42" s="181"/>
      <c r="M42" s="221" t="str">
        <f>IF(K42&gt;0,(K42*VLOOKUP(Lookups!$K$11,Lookups!$M$10:$P$43,4,0)/VLOOKUP(L42,Lookups!$M$10:$P$43,4,0)),"")</f>
        <v/>
      </c>
      <c r="N42" s="165"/>
      <c r="O42" s="181"/>
      <c r="P42" s="221" t="str">
        <f>IF(N42&gt;0,(N42*VLOOKUP(Lookups!$K$11,Lookups!$M$10:$P$43,4,0)/VLOOKUP(O42,Lookups!$M$10:$P$43,4,0)),"")</f>
        <v/>
      </c>
      <c r="Q42" s="173" t="s">
        <v>3218</v>
      </c>
      <c r="R42" s="181" t="s">
        <v>154</v>
      </c>
      <c r="S42" s="174" t="s">
        <v>2857</v>
      </c>
      <c r="T42" s="181" t="s">
        <v>923</v>
      </c>
      <c r="U42" s="4" t="s">
        <v>2832</v>
      </c>
    </row>
    <row r="43" spans="1:21" s="54" customFormat="1" ht="60" hidden="1" customHeight="1" outlineLevel="1" x14ac:dyDescent="0.25">
      <c r="A43" s="50" t="s">
        <v>219</v>
      </c>
      <c r="B43" s="50" t="s">
        <v>231</v>
      </c>
      <c r="C43" s="50" t="s">
        <v>3060</v>
      </c>
      <c r="D43" s="50" t="s">
        <v>2348</v>
      </c>
      <c r="E43" s="164" t="s">
        <v>170</v>
      </c>
      <c r="F43" s="90" t="s">
        <v>162</v>
      </c>
      <c r="G43" s="90" t="s">
        <v>2692</v>
      </c>
      <c r="H43" s="193">
        <v>3009</v>
      </c>
      <c r="I43" s="181" t="s">
        <v>1520</v>
      </c>
      <c r="J43" s="221">
        <f>IF(H43&gt;0,(H43*VLOOKUP(Lookups!$K$11,Lookups!$M$10:$P$43,4,0)/VLOOKUP(I43,Lookups!$M$10:$P$43,4,0)),"")</f>
        <v>3099.0383736329231</v>
      </c>
      <c r="K43" s="165"/>
      <c r="L43" s="181"/>
      <c r="M43" s="221" t="str">
        <f>IF(K43&gt;0,(K43*VLOOKUP(Lookups!$K$11,Lookups!$M$10:$P$43,4,0)/VLOOKUP(L43,Lookups!$M$10:$P$43,4,0)),"")</f>
        <v/>
      </c>
      <c r="N43" s="165"/>
      <c r="O43" s="181"/>
      <c r="P43" s="221" t="str">
        <f>IF(N43&gt;0,(N43*VLOOKUP(Lookups!$K$11,Lookups!$M$10:$P$43,4,0)/VLOOKUP(O43,Lookups!$M$10:$P$43,4,0)),"")</f>
        <v/>
      </c>
      <c r="Q43" s="173" t="s">
        <v>3219</v>
      </c>
      <c r="R43" s="181" t="s">
        <v>154</v>
      </c>
      <c r="S43" s="174" t="s">
        <v>2858</v>
      </c>
      <c r="T43" s="181" t="s">
        <v>923</v>
      </c>
      <c r="U43" s="4" t="s">
        <v>2832</v>
      </c>
    </row>
    <row r="44" spans="1:21" s="54" customFormat="1" ht="60" hidden="1" customHeight="1" outlineLevel="1" x14ac:dyDescent="0.25">
      <c r="A44" s="50" t="s">
        <v>219</v>
      </c>
      <c r="B44" s="50" t="s">
        <v>231</v>
      </c>
      <c r="C44" s="50" t="s">
        <v>3061</v>
      </c>
      <c r="D44" s="50" t="s">
        <v>520</v>
      </c>
      <c r="E44" s="164" t="s">
        <v>170</v>
      </c>
      <c r="F44" s="90" t="s">
        <v>162</v>
      </c>
      <c r="G44" s="90" t="s">
        <v>2692</v>
      </c>
      <c r="H44" s="193">
        <v>846</v>
      </c>
      <c r="I44" s="181" t="s">
        <v>1520</v>
      </c>
      <c r="J44" s="221">
        <f>IF(H44&gt;0,(H44*VLOOKUP(Lookups!$K$11,Lookups!$M$10:$P$43,4,0)/VLOOKUP(I44,Lookups!$M$10:$P$43,4,0)),"")</f>
        <v>871.3148767342816</v>
      </c>
      <c r="K44" s="165"/>
      <c r="L44" s="181"/>
      <c r="M44" s="221" t="str">
        <f>IF(K44&gt;0,(K44*VLOOKUP(Lookups!$K$11,Lookups!$M$10:$P$43,4,0)/VLOOKUP(L44,Lookups!$M$10:$P$43,4,0)),"")</f>
        <v/>
      </c>
      <c r="N44" s="165"/>
      <c r="O44" s="181"/>
      <c r="P44" s="221" t="str">
        <f>IF(N44&gt;0,(N44*VLOOKUP(Lookups!$K$11,Lookups!$M$10:$P$43,4,0)/VLOOKUP(O44,Lookups!$M$10:$P$43,4,0)),"")</f>
        <v/>
      </c>
      <c r="Q44" s="173" t="s">
        <v>3220</v>
      </c>
      <c r="R44" s="181" t="s">
        <v>154</v>
      </c>
      <c r="S44" s="174" t="s">
        <v>2859</v>
      </c>
      <c r="T44" s="181" t="s">
        <v>923</v>
      </c>
      <c r="U44" s="4" t="s">
        <v>2832</v>
      </c>
    </row>
    <row r="45" spans="1:21" s="54" customFormat="1" ht="60" customHeight="1" collapsed="1" x14ac:dyDescent="0.25">
      <c r="A45" s="230" t="s">
        <v>219</v>
      </c>
      <c r="B45" s="230" t="s">
        <v>231</v>
      </c>
      <c r="C45" s="230" t="s">
        <v>955</v>
      </c>
      <c r="D45" s="224" t="s">
        <v>21</v>
      </c>
      <c r="E45" s="175" t="s">
        <v>705</v>
      </c>
      <c r="F45" s="90" t="s">
        <v>162</v>
      </c>
      <c r="G45" s="90" t="s">
        <v>2692</v>
      </c>
      <c r="H45" s="193">
        <v>182</v>
      </c>
      <c r="I45" s="181" t="s">
        <v>1520</v>
      </c>
      <c r="J45" s="221">
        <f>IF(H45&gt;0,(H45*VLOOKUP(Lookups!$K$11,Lookups!$M$10:$P$43,4,0)/VLOOKUP(I45,Lookups!$M$10:$P$43,4,0)),"")</f>
        <v>187.44599003030643</v>
      </c>
      <c r="K45" s="165"/>
      <c r="L45" s="181"/>
      <c r="M45" s="221" t="str">
        <f>IF(K45&gt;0,(K45*VLOOKUP(Lookups!$K$11,Lookups!$M$10:$P$43,4,0)/VLOOKUP(L45,Lookups!$M$10:$P$43,4,0)),"")</f>
        <v/>
      </c>
      <c r="N45" s="165"/>
      <c r="O45" s="181"/>
      <c r="P45" s="221" t="str">
        <f>IF(N45&gt;0,(N45*VLOOKUP(Lookups!$K$11,Lookups!$M$10:$P$43,4,0)/VLOOKUP(O45,Lookups!$M$10:$P$43,4,0)),"")</f>
        <v/>
      </c>
      <c r="Q45" s="173" t="s">
        <v>3221</v>
      </c>
      <c r="R45" s="181" t="s">
        <v>154</v>
      </c>
      <c r="S45" s="174" t="s">
        <v>2860</v>
      </c>
      <c r="T45" s="181" t="s">
        <v>923</v>
      </c>
      <c r="U45" s="4" t="s">
        <v>2832</v>
      </c>
    </row>
    <row r="46" spans="1:21" s="54" customFormat="1" ht="60" hidden="1" customHeight="1" outlineLevel="1" x14ac:dyDescent="0.25">
      <c r="A46" s="50" t="s">
        <v>219</v>
      </c>
      <c r="B46" s="50" t="s">
        <v>231</v>
      </c>
      <c r="C46" s="50" t="s">
        <v>2906</v>
      </c>
      <c r="D46" s="50" t="s">
        <v>279</v>
      </c>
      <c r="E46" s="175" t="s">
        <v>2349</v>
      </c>
      <c r="F46" s="90" t="s">
        <v>162</v>
      </c>
      <c r="G46" s="90" t="s">
        <v>2692</v>
      </c>
      <c r="H46" s="193">
        <v>229.42</v>
      </c>
      <c r="I46" s="181" t="s">
        <v>1520</v>
      </c>
      <c r="J46" s="221">
        <f>IF(H46&gt;0,(H46*VLOOKUP(Lookups!$K$11,Lookups!$M$10:$P$43,4,0)/VLOOKUP(I46,Lookups!$M$10:$P$43,4,0)),"")</f>
        <v>236.28493974040055</v>
      </c>
      <c r="K46" s="165"/>
      <c r="L46" s="181"/>
      <c r="M46" s="221" t="str">
        <f>IF(K46&gt;0,(K46*VLOOKUP(Lookups!$K$11,Lookups!$M$10:$P$43,4,0)/VLOOKUP(L46,Lookups!$M$10:$P$43,4,0)),"")</f>
        <v/>
      </c>
      <c r="N46" s="165"/>
      <c r="O46" s="181"/>
      <c r="P46" s="221" t="str">
        <f>IF(N46&gt;0,(N46*VLOOKUP(Lookups!$K$11,Lookups!$M$10:$P$43,4,0)/VLOOKUP(O46,Lookups!$M$10:$P$43,4,0)),"")</f>
        <v/>
      </c>
      <c r="Q46" s="173" t="s">
        <v>3222</v>
      </c>
      <c r="R46" s="181" t="s">
        <v>154</v>
      </c>
      <c r="S46" s="174" t="s">
        <v>2861</v>
      </c>
      <c r="T46" s="181" t="s">
        <v>923</v>
      </c>
      <c r="U46" s="4" t="s">
        <v>2832</v>
      </c>
    </row>
    <row r="47" spans="1:21" s="204" customFormat="1" ht="60" hidden="1" customHeight="1" outlineLevel="1" x14ac:dyDescent="0.25">
      <c r="A47" s="50" t="s">
        <v>219</v>
      </c>
      <c r="B47" s="50" t="s">
        <v>231</v>
      </c>
      <c r="C47" s="50" t="s">
        <v>2907</v>
      </c>
      <c r="D47" s="50" t="s">
        <v>1197</v>
      </c>
      <c r="E47" s="4" t="s">
        <v>170</v>
      </c>
      <c r="F47" s="4" t="s">
        <v>162</v>
      </c>
      <c r="G47" s="4" t="s">
        <v>2692</v>
      </c>
      <c r="H47" s="193">
        <v>218</v>
      </c>
      <c r="I47" s="181" t="s">
        <v>1520</v>
      </c>
      <c r="J47" s="221">
        <f>IF(H47&gt;0,(H47*VLOOKUP(Lookups!$K$11,Lookups!$M$10:$P$43,4,0)/VLOOKUP(I47,Lookups!$M$10:$P$43,4,0)),"")</f>
        <v>224.52321882750988</v>
      </c>
      <c r="K47" s="11"/>
      <c r="L47" s="181"/>
      <c r="M47" s="221" t="str">
        <f>IF(K47&gt;0,(K47*VLOOKUP(Lookups!$K$11,Lookups!$M$10:$P$43,4,0)/VLOOKUP(L47,Lookups!$M$10:$P$43,4,0)),"")</f>
        <v/>
      </c>
      <c r="N47" s="11"/>
      <c r="O47" s="181"/>
      <c r="P47" s="221" t="str">
        <f>IF(N47&gt;0,(N47*VLOOKUP(Lookups!$K$11,Lookups!$M$10:$P$43,4,0)/VLOOKUP(O47,Lookups!$M$10:$P$43,4,0)),"")</f>
        <v/>
      </c>
      <c r="Q47" s="173" t="s">
        <v>2410</v>
      </c>
      <c r="R47" s="181" t="s">
        <v>154</v>
      </c>
      <c r="S47" s="174" t="s">
        <v>2408</v>
      </c>
      <c r="T47" s="176" t="s">
        <v>923</v>
      </c>
      <c r="U47" s="90" t="s">
        <v>2407</v>
      </c>
    </row>
    <row r="48" spans="1:21" s="54" customFormat="1" ht="60" hidden="1" customHeight="1" outlineLevel="1" x14ac:dyDescent="0.25">
      <c r="A48" s="50" t="s">
        <v>219</v>
      </c>
      <c r="B48" s="50" t="s">
        <v>231</v>
      </c>
      <c r="C48" s="50" t="s">
        <v>2908</v>
      </c>
      <c r="D48" s="50" t="s">
        <v>1903</v>
      </c>
      <c r="E48" s="90" t="s">
        <v>156</v>
      </c>
      <c r="F48" s="90" t="s">
        <v>162</v>
      </c>
      <c r="G48" s="90" t="s">
        <v>2692</v>
      </c>
      <c r="H48" s="193">
        <v>176</v>
      </c>
      <c r="I48" s="181" t="s">
        <v>1520</v>
      </c>
      <c r="J48" s="221">
        <f>IF(H48&gt;0,(H48*VLOOKUP(Lookups!$K$11,Lookups!$M$10:$P$43,4,0)/VLOOKUP(I48,Lookups!$M$10:$P$43,4,0)),"")</f>
        <v>181.2664518974392</v>
      </c>
      <c r="K48" s="165"/>
      <c r="L48" s="181"/>
      <c r="M48" s="221" t="str">
        <f>IF(K48&gt;0,(K48*VLOOKUP(Lookups!$K$11,Lookups!$M$10:$P$43,4,0)/VLOOKUP(L48,Lookups!$M$10:$P$43,4,0)),"")</f>
        <v/>
      </c>
      <c r="N48" s="165"/>
      <c r="O48" s="181"/>
      <c r="P48" s="221" t="str">
        <f>IF(N48&gt;0,(N48*VLOOKUP(Lookups!$K$11,Lookups!$M$10:$P$43,4,0)/VLOOKUP(O48,Lookups!$M$10:$P$43,4,0)),"")</f>
        <v/>
      </c>
      <c r="Q48" s="173" t="s">
        <v>3223</v>
      </c>
      <c r="R48" s="181" t="s">
        <v>154</v>
      </c>
      <c r="S48" s="174" t="s">
        <v>2862</v>
      </c>
      <c r="T48" s="181" t="s">
        <v>923</v>
      </c>
      <c r="U48" s="4" t="s">
        <v>2832</v>
      </c>
    </row>
    <row r="49" spans="1:21" s="54" customFormat="1" ht="60" hidden="1" customHeight="1" outlineLevel="1" x14ac:dyDescent="0.25">
      <c r="A49" s="50" t="s">
        <v>219</v>
      </c>
      <c r="B49" s="50" t="s">
        <v>231</v>
      </c>
      <c r="C49" s="50" t="s">
        <v>2909</v>
      </c>
      <c r="D49" s="50" t="s">
        <v>72</v>
      </c>
      <c r="E49" s="90" t="s">
        <v>705</v>
      </c>
      <c r="F49" s="90" t="s">
        <v>162</v>
      </c>
      <c r="G49" s="174" t="s">
        <v>2692</v>
      </c>
      <c r="H49" s="193">
        <v>118</v>
      </c>
      <c r="I49" s="181" t="s">
        <v>1520</v>
      </c>
      <c r="J49" s="221">
        <f>IF(H49&gt;0,(H49*VLOOKUP(Lookups!$K$11,Lookups!$M$10:$P$43,4,0)/VLOOKUP(I49,Lookups!$M$10:$P$43,4,0)),"")</f>
        <v>121.53091661305581</v>
      </c>
      <c r="K49" s="165"/>
      <c r="L49" s="181"/>
      <c r="M49" s="221" t="str">
        <f>IF(K49&gt;0,(K49*VLOOKUP(Lookups!$K$11,Lookups!$M$10:$P$43,4,0)/VLOOKUP(L49,Lookups!$M$10:$P$43,4,0)),"")</f>
        <v/>
      </c>
      <c r="N49" s="165"/>
      <c r="O49" s="181"/>
      <c r="P49" s="221" t="str">
        <f>IF(N49&gt;0,(N49*VLOOKUP(Lookups!$K$11,Lookups!$M$10:$P$43,4,0)/VLOOKUP(O49,Lookups!$M$10:$P$43,4,0)),"")</f>
        <v/>
      </c>
      <c r="Q49" s="173" t="s">
        <v>3224</v>
      </c>
      <c r="R49" s="181" t="s">
        <v>154</v>
      </c>
      <c r="S49" s="174" t="s">
        <v>2865</v>
      </c>
      <c r="T49" s="176" t="s">
        <v>923</v>
      </c>
      <c r="U49" s="4" t="s">
        <v>2832</v>
      </c>
    </row>
    <row r="50" spans="1:21" s="54" customFormat="1" ht="60" hidden="1" customHeight="1" outlineLevel="1" x14ac:dyDescent="0.25">
      <c r="A50" s="50" t="s">
        <v>219</v>
      </c>
      <c r="B50" s="50" t="s">
        <v>231</v>
      </c>
      <c r="C50" s="50" t="s">
        <v>2910</v>
      </c>
      <c r="D50" s="50" t="s">
        <v>2878</v>
      </c>
      <c r="E50" s="90" t="s">
        <v>705</v>
      </c>
      <c r="F50" s="90" t="s">
        <v>162</v>
      </c>
      <c r="G50" s="90" t="s">
        <v>2692</v>
      </c>
      <c r="H50" s="193">
        <v>110</v>
      </c>
      <c r="I50" s="181" t="s">
        <v>1520</v>
      </c>
      <c r="J50" s="221">
        <f>IF(H50&gt;0,(H50*VLOOKUP(Lookups!$K$11,Lookups!$M$10:$P$43,4,0)/VLOOKUP(I50,Lookups!$M$10:$P$43,4,0)),"")</f>
        <v>113.2915324358995</v>
      </c>
      <c r="K50" s="165"/>
      <c r="L50" s="181"/>
      <c r="M50" s="221" t="str">
        <f>IF(K50&gt;0,(K50*VLOOKUP(Lookups!$K$11,Lookups!$M$10:$P$43,4,0)/VLOOKUP(L50,Lookups!$M$10:$P$43,4,0)),"")</f>
        <v/>
      </c>
      <c r="N50" s="165"/>
      <c r="O50" s="181"/>
      <c r="P50" s="221" t="str">
        <f>IF(N50&gt;0,(N50*VLOOKUP(Lookups!$K$11,Lookups!$M$10:$P$43,4,0)/VLOOKUP(O50,Lookups!$M$10:$P$43,4,0)),"")</f>
        <v/>
      </c>
      <c r="Q50" s="173" t="s">
        <v>3225</v>
      </c>
      <c r="R50" s="181" t="s">
        <v>154</v>
      </c>
      <c r="S50" s="174" t="s">
        <v>2866</v>
      </c>
      <c r="T50" s="181" t="s">
        <v>923</v>
      </c>
      <c r="U50" s="4" t="s">
        <v>2832</v>
      </c>
    </row>
    <row r="51" spans="1:21" s="54" customFormat="1" ht="60" hidden="1" customHeight="1" outlineLevel="1" x14ac:dyDescent="0.25">
      <c r="A51" s="50" t="s">
        <v>219</v>
      </c>
      <c r="B51" s="50" t="s">
        <v>231</v>
      </c>
      <c r="C51" s="50" t="s">
        <v>2911</v>
      </c>
      <c r="D51" s="50" t="s">
        <v>2879</v>
      </c>
      <c r="E51" s="90" t="s">
        <v>705</v>
      </c>
      <c r="F51" s="90" t="s">
        <v>162</v>
      </c>
      <c r="G51" s="174" t="s">
        <v>2692</v>
      </c>
      <c r="H51" s="193">
        <v>166</v>
      </c>
      <c r="I51" s="181" t="s">
        <v>1520</v>
      </c>
      <c r="J51" s="221">
        <f>IF(H51&gt;0,(H51*VLOOKUP(Lookups!$K$11,Lookups!$M$10:$P$43,4,0)/VLOOKUP(I51,Lookups!$M$10:$P$43,4,0)),"")</f>
        <v>170.96722167599376</v>
      </c>
      <c r="K51" s="165"/>
      <c r="L51" s="181"/>
      <c r="M51" s="221" t="str">
        <f>IF(K51&gt;0,(K51*VLOOKUP(Lookups!$K$11,Lookups!$M$10:$P$43,4,0)/VLOOKUP(L51,Lookups!$M$10:$P$43,4,0)),"")</f>
        <v/>
      </c>
      <c r="N51" s="165"/>
      <c r="O51" s="181"/>
      <c r="P51" s="221" t="str">
        <f>IF(N51&gt;0,(N51*VLOOKUP(Lookups!$K$11,Lookups!$M$10:$P$43,4,0)/VLOOKUP(O51,Lookups!$M$10:$P$43,4,0)),"")</f>
        <v/>
      </c>
      <c r="Q51" s="173" t="s">
        <v>3226</v>
      </c>
      <c r="R51" s="181" t="s">
        <v>154</v>
      </c>
      <c r="S51" s="174" t="s">
        <v>2867</v>
      </c>
      <c r="T51" s="176" t="s">
        <v>923</v>
      </c>
      <c r="U51" s="4" t="s">
        <v>2832</v>
      </c>
    </row>
    <row r="52" spans="1:21" s="162" customFormat="1" ht="60" customHeight="1" collapsed="1" x14ac:dyDescent="0.25">
      <c r="A52" s="230" t="s">
        <v>219</v>
      </c>
      <c r="B52" s="230" t="s">
        <v>231</v>
      </c>
      <c r="C52" s="230" t="s">
        <v>956</v>
      </c>
      <c r="D52" s="230" t="s">
        <v>443</v>
      </c>
      <c r="E52" s="175" t="s">
        <v>159</v>
      </c>
      <c r="F52" s="90" t="s">
        <v>162</v>
      </c>
      <c r="G52" s="90" t="s">
        <v>2692</v>
      </c>
      <c r="H52" s="193">
        <v>1192</v>
      </c>
      <c r="I52" s="181" t="s">
        <v>1520</v>
      </c>
      <c r="J52" s="221">
        <f>IF(H52&gt;0,(H52*VLOOKUP(Lookups!$K$11,Lookups!$M$10:$P$43,4,0)/VLOOKUP(I52,Lookups!$M$10:$P$43,4,0)),"")</f>
        <v>1227.6682423962927</v>
      </c>
      <c r="K52" s="165"/>
      <c r="L52" s="15"/>
      <c r="M52" s="17" t="str">
        <f>IF(K52&gt;0,(K52*VLOOKUP(Lookups!$K$11,Lookups!$M$10:$P$43,4,0)/VLOOKUP(L52,Lookups!$M$10:$P$43,4,0)),"")</f>
        <v/>
      </c>
      <c r="N52" s="165"/>
      <c r="O52" s="15"/>
      <c r="P52" s="17" t="str">
        <f>IF(N52&gt;0,(N52*VLOOKUP(Lookups!$K$11,Lookups!$M$10:$P$43,4,0)/VLOOKUP(O52,Lookups!$M$10:$P$43,4,0)),"")</f>
        <v/>
      </c>
      <c r="Q52" s="173" t="s">
        <v>3227</v>
      </c>
      <c r="R52" s="181" t="s">
        <v>154</v>
      </c>
      <c r="S52" s="174" t="s">
        <v>2863</v>
      </c>
      <c r="T52" s="181" t="s">
        <v>923</v>
      </c>
      <c r="U52" s="4" t="s">
        <v>2832</v>
      </c>
    </row>
    <row r="53" spans="1:21" s="162" customFormat="1" ht="60" hidden="1" customHeight="1" outlineLevel="1" x14ac:dyDescent="0.25">
      <c r="A53" s="50" t="s">
        <v>219</v>
      </c>
      <c r="B53" s="50" t="s">
        <v>231</v>
      </c>
      <c r="C53" s="50" t="s">
        <v>428</v>
      </c>
      <c r="D53" s="50" t="s">
        <v>280</v>
      </c>
      <c r="E53" s="90" t="s">
        <v>705</v>
      </c>
      <c r="F53" s="90" t="s">
        <v>162</v>
      </c>
      <c r="G53" s="90" t="s">
        <v>2692</v>
      </c>
      <c r="H53" s="193">
        <v>346.13</v>
      </c>
      <c r="I53" s="181" t="s">
        <v>1520</v>
      </c>
      <c r="J53" s="221">
        <f>IF(H53&gt;0,(H53*VLOOKUP(Lookups!$K$11,Lookups!$M$10:$P$43,4,0)/VLOOKUP(I53,Lookups!$M$10:$P$43,4,0)),"")</f>
        <v>356.48725565488991</v>
      </c>
      <c r="K53" s="161"/>
      <c r="L53" s="15"/>
      <c r="M53" s="17" t="str">
        <f>IF(K53&gt;0,(K53*VLOOKUP(Lookups!$K$11,Lookups!$M$10:$P$43,4,0)/VLOOKUP(L53,Lookups!$M$10:$P$43,4,0)),"")</f>
        <v/>
      </c>
      <c r="N53" s="161"/>
      <c r="O53" s="15"/>
      <c r="P53" s="17" t="str">
        <f>IF(N53&gt;0,(N53*VLOOKUP(Lookups!$K$11,Lookups!$M$10:$P$43,4,0)/VLOOKUP(O53,Lookups!$M$10:$P$43,4,0)),"")</f>
        <v/>
      </c>
      <c r="Q53" s="173" t="s">
        <v>3228</v>
      </c>
      <c r="R53" s="181" t="s">
        <v>154</v>
      </c>
      <c r="S53" s="174" t="s">
        <v>2864</v>
      </c>
      <c r="T53" s="181" t="s">
        <v>923</v>
      </c>
      <c r="U53" s="4" t="s">
        <v>2832</v>
      </c>
    </row>
    <row r="54" spans="1:21" s="53" customFormat="1" ht="60" customHeight="1" collapsed="1" x14ac:dyDescent="0.25">
      <c r="A54" s="39" t="s">
        <v>219</v>
      </c>
      <c r="B54" s="39" t="s">
        <v>231</v>
      </c>
      <c r="C54" s="39" t="s">
        <v>957</v>
      </c>
      <c r="D54" s="39" t="s">
        <v>2209</v>
      </c>
      <c r="E54" s="4" t="s">
        <v>2123</v>
      </c>
      <c r="F54" s="4" t="s">
        <v>162</v>
      </c>
      <c r="G54" s="4" t="s">
        <v>2692</v>
      </c>
      <c r="H54" s="193">
        <v>41</v>
      </c>
      <c r="I54" s="181" t="s">
        <v>1520</v>
      </c>
      <c r="J54" s="221">
        <f>IF(H54&gt;0,(H54*VLOOKUP(Lookups!$K$11,Lookups!$M$10:$P$43,4,0)/VLOOKUP(I54,Lookups!$M$10:$P$43,4,0)),"")</f>
        <v>42.226843907926174</v>
      </c>
      <c r="K54" s="11"/>
      <c r="L54" s="181"/>
      <c r="M54" s="221" t="str">
        <f>IF(K54&gt;0,(K54*VLOOKUP(Lookups!$K$11,Lookups!$M$10:$P$43,4,0)/VLOOKUP(L54,Lookups!$M$10:$P$43,4,0)),"")</f>
        <v/>
      </c>
      <c r="N54" s="11"/>
      <c r="O54" s="181"/>
      <c r="P54" s="221" t="str">
        <f>IF(N54&gt;0,(N54*VLOOKUP(Lookups!$K$11,Lookups!$M$10:$P$43,4,0)/VLOOKUP(O54,Lookups!$M$10:$P$43,4,0)),"")</f>
        <v/>
      </c>
      <c r="Q54" s="173" t="s">
        <v>2411</v>
      </c>
      <c r="R54" s="181" t="s">
        <v>154</v>
      </c>
      <c r="S54" s="174" t="s">
        <v>2412</v>
      </c>
      <c r="T54" s="176" t="s">
        <v>923</v>
      </c>
      <c r="U54" s="90" t="s">
        <v>2407</v>
      </c>
    </row>
    <row r="55" spans="1:21" s="54" customFormat="1" ht="60" hidden="1" customHeight="1" outlineLevel="1" x14ac:dyDescent="0.25">
      <c r="A55" s="50" t="s">
        <v>219</v>
      </c>
      <c r="B55" s="50" t="s">
        <v>231</v>
      </c>
      <c r="C55" s="50" t="s">
        <v>429</v>
      </c>
      <c r="D55" s="50" t="s">
        <v>2210</v>
      </c>
      <c r="E55" s="90" t="s">
        <v>2123</v>
      </c>
      <c r="F55" s="90" t="s">
        <v>162</v>
      </c>
      <c r="G55" s="90" t="s">
        <v>2692</v>
      </c>
      <c r="H55" s="193">
        <v>32</v>
      </c>
      <c r="I55" s="181" t="s">
        <v>1520</v>
      </c>
      <c r="J55" s="221">
        <f>IF(H55&gt;0,(H55*VLOOKUP(Lookups!$K$11,Lookups!$M$10:$P$43,4,0)/VLOOKUP(I55,Lookups!$M$10:$P$43,4,0)),"")</f>
        <v>32.957536708625305</v>
      </c>
      <c r="K55" s="165"/>
      <c r="L55" s="181"/>
      <c r="M55" s="221" t="str">
        <f>IF(K55&gt;0,(K55*VLOOKUP(Lookups!$K$11,Lookups!$M$10:$P$43,4,0)/VLOOKUP(L55,Lookups!$M$10:$P$43,4,0)),"")</f>
        <v/>
      </c>
      <c r="N55" s="165"/>
      <c r="O55" s="181"/>
      <c r="P55" s="221" t="str">
        <f>IF(N55&gt;0,(N55*VLOOKUP(Lookups!$K$11,Lookups!$M$10:$P$43,4,0)/VLOOKUP(O55,Lookups!$M$10:$P$43,4,0)),"")</f>
        <v/>
      </c>
      <c r="Q55" s="173" t="s">
        <v>2411</v>
      </c>
      <c r="R55" s="181" t="s">
        <v>154</v>
      </c>
      <c r="S55" s="174" t="s">
        <v>2413</v>
      </c>
      <c r="T55" s="181" t="s">
        <v>923</v>
      </c>
      <c r="U55" s="90" t="s">
        <v>2407</v>
      </c>
    </row>
    <row r="56" spans="1:21" s="54" customFormat="1" ht="60" hidden="1" customHeight="1" outlineLevel="1" x14ac:dyDescent="0.25">
      <c r="A56" s="50" t="s">
        <v>219</v>
      </c>
      <c r="B56" s="50" t="s">
        <v>231</v>
      </c>
      <c r="C56" s="50" t="s">
        <v>438</v>
      </c>
      <c r="D56" s="50" t="s">
        <v>2211</v>
      </c>
      <c r="E56" s="90" t="s">
        <v>2123</v>
      </c>
      <c r="F56" s="90" t="s">
        <v>162</v>
      </c>
      <c r="G56" s="90" t="s">
        <v>2692</v>
      </c>
      <c r="H56" s="193">
        <v>51</v>
      </c>
      <c r="I56" s="181" t="s">
        <v>1520</v>
      </c>
      <c r="J56" s="221">
        <f>IF(H56&gt;0,(H56*VLOOKUP(Lookups!$K$11,Lookups!$M$10:$P$43,4,0)/VLOOKUP(I56,Lookups!$M$10:$P$43,4,0)),"")</f>
        <v>52.52607412937158</v>
      </c>
      <c r="K56" s="165"/>
      <c r="L56" s="181"/>
      <c r="M56" s="221" t="str">
        <f>IF(K56&gt;0,(K56*VLOOKUP(Lookups!$K$11,Lookups!$M$10:$P$43,4,0)/VLOOKUP(L56,Lookups!$M$10:$P$43,4,0)),"")</f>
        <v/>
      </c>
      <c r="N56" s="165"/>
      <c r="O56" s="181"/>
      <c r="P56" s="221" t="str">
        <f>IF(N56&gt;0,(N56*VLOOKUP(Lookups!$K$11,Lookups!$M$10:$P$43,4,0)/VLOOKUP(O56,Lookups!$M$10:$P$43,4,0)),"")</f>
        <v/>
      </c>
      <c r="Q56" s="173" t="s">
        <v>2411</v>
      </c>
      <c r="R56" s="181" t="s">
        <v>154</v>
      </c>
      <c r="S56" s="174" t="s">
        <v>2414</v>
      </c>
      <c r="T56" s="181" t="s">
        <v>923</v>
      </c>
      <c r="U56" s="90" t="s">
        <v>2407</v>
      </c>
    </row>
    <row r="57" spans="1:21" s="54" customFormat="1" ht="60" hidden="1" customHeight="1" outlineLevel="1" x14ac:dyDescent="0.25">
      <c r="A57" s="50" t="s">
        <v>219</v>
      </c>
      <c r="B57" s="50" t="s">
        <v>231</v>
      </c>
      <c r="C57" s="50" t="s">
        <v>2095</v>
      </c>
      <c r="D57" s="50" t="s">
        <v>2212</v>
      </c>
      <c r="E57" s="90" t="s">
        <v>2123</v>
      </c>
      <c r="F57" s="90" t="s">
        <v>162</v>
      </c>
      <c r="G57" s="90" t="s">
        <v>2692</v>
      </c>
      <c r="H57" s="193">
        <v>65</v>
      </c>
      <c r="I57" s="181" t="s">
        <v>1520</v>
      </c>
      <c r="J57" s="221">
        <f>IF(H57&gt;0,(H57*VLOOKUP(Lookups!$K$11,Lookups!$M$10:$P$43,4,0)/VLOOKUP(I57,Lookups!$M$10:$P$43,4,0)),"")</f>
        <v>66.944996439395155</v>
      </c>
      <c r="K57" s="165"/>
      <c r="L57" s="181"/>
      <c r="M57" s="221" t="str">
        <f>IF(K57&gt;0,(K57*VLOOKUP(Lookups!$K$11,Lookups!$M$10:$P$43,4,0)/VLOOKUP(L57,Lookups!$M$10:$P$43,4,0)),"")</f>
        <v/>
      </c>
      <c r="N57" s="165"/>
      <c r="O57" s="181"/>
      <c r="P57" s="221" t="str">
        <f>IF(N57&gt;0,(N57*VLOOKUP(Lookups!$K$11,Lookups!$M$10:$P$43,4,0)/VLOOKUP(O57,Lookups!$M$10:$P$43,4,0)),"")</f>
        <v/>
      </c>
      <c r="Q57" s="173" t="s">
        <v>2411</v>
      </c>
      <c r="R57" s="181" t="s">
        <v>154</v>
      </c>
      <c r="S57" s="174" t="s">
        <v>2415</v>
      </c>
      <c r="T57" s="181" t="s">
        <v>923</v>
      </c>
      <c r="U57" s="90" t="s">
        <v>2407</v>
      </c>
    </row>
    <row r="58" spans="1:21" s="54" customFormat="1" ht="60" hidden="1" customHeight="1" outlineLevel="1" x14ac:dyDescent="0.25">
      <c r="A58" s="50" t="s">
        <v>219</v>
      </c>
      <c r="B58" s="50" t="s">
        <v>231</v>
      </c>
      <c r="C58" s="50" t="s">
        <v>2096</v>
      </c>
      <c r="D58" s="50" t="s">
        <v>2213</v>
      </c>
      <c r="E58" s="90" t="s">
        <v>2123</v>
      </c>
      <c r="F58" s="90" t="s">
        <v>162</v>
      </c>
      <c r="G58" s="90" t="s">
        <v>2692</v>
      </c>
      <c r="H58" s="193">
        <v>75</v>
      </c>
      <c r="I58" s="181" t="s">
        <v>1520</v>
      </c>
      <c r="J58" s="221">
        <f>IF(H58&gt;0,(H58*VLOOKUP(Lookups!$K$11,Lookups!$M$10:$P$43,4,0)/VLOOKUP(I58,Lookups!$M$10:$P$43,4,0)),"")</f>
        <v>77.244226660840553</v>
      </c>
      <c r="K58" s="165"/>
      <c r="L58" s="181"/>
      <c r="M58" s="221" t="str">
        <f>IF(K58&gt;0,(K58*VLOOKUP(Lookups!$K$11,Lookups!$M$10:$P$43,4,0)/VLOOKUP(L58,Lookups!$M$10:$P$43,4,0)),"")</f>
        <v/>
      </c>
      <c r="N58" s="165"/>
      <c r="O58" s="181"/>
      <c r="P58" s="221" t="str">
        <f>IF(N58&gt;0,(N58*VLOOKUP(Lookups!$K$11,Lookups!$M$10:$P$43,4,0)/VLOOKUP(O58,Lookups!$M$10:$P$43,4,0)),"")</f>
        <v/>
      </c>
      <c r="Q58" s="173" t="s">
        <v>2411</v>
      </c>
      <c r="R58" s="181" t="s">
        <v>154</v>
      </c>
      <c r="S58" s="174" t="s">
        <v>2416</v>
      </c>
      <c r="T58" s="181" t="s">
        <v>923</v>
      </c>
      <c r="U58" s="90" t="s">
        <v>2407</v>
      </c>
    </row>
    <row r="59" spans="1:21" s="54" customFormat="1" ht="60" hidden="1" customHeight="1" outlineLevel="1" x14ac:dyDescent="0.25">
      <c r="A59" s="50" t="s">
        <v>219</v>
      </c>
      <c r="B59" s="50" t="s">
        <v>231</v>
      </c>
      <c r="C59" s="50" t="s">
        <v>2912</v>
      </c>
      <c r="D59" s="50" t="s">
        <v>2214</v>
      </c>
      <c r="E59" s="90" t="s">
        <v>2123</v>
      </c>
      <c r="F59" s="90" t="s">
        <v>162</v>
      </c>
      <c r="G59" s="90" t="s">
        <v>2692</v>
      </c>
      <c r="H59" s="193">
        <v>88</v>
      </c>
      <c r="I59" s="181" t="s">
        <v>1520</v>
      </c>
      <c r="J59" s="221">
        <f>IF(H59&gt;0,(H59*VLOOKUP(Lookups!$K$11,Lookups!$M$10:$P$43,4,0)/VLOOKUP(I59,Lookups!$M$10:$P$43,4,0)),"")</f>
        <v>90.633225948719598</v>
      </c>
      <c r="K59" s="165"/>
      <c r="L59" s="181"/>
      <c r="M59" s="221" t="str">
        <f>IF(K59&gt;0,(K59*VLOOKUP(Lookups!$K$11,Lookups!$M$10:$P$43,4,0)/VLOOKUP(L59,Lookups!$M$10:$P$43,4,0)),"")</f>
        <v/>
      </c>
      <c r="N59" s="165"/>
      <c r="O59" s="181"/>
      <c r="P59" s="221" t="str">
        <f>IF(N59&gt;0,(N59*VLOOKUP(Lookups!$K$11,Lookups!$M$10:$P$43,4,0)/VLOOKUP(O59,Lookups!$M$10:$P$43,4,0)),"")</f>
        <v/>
      </c>
      <c r="Q59" s="173" t="s">
        <v>2411</v>
      </c>
      <c r="R59" s="181" t="s">
        <v>154</v>
      </c>
      <c r="S59" s="174" t="s">
        <v>2417</v>
      </c>
      <c r="T59" s="181" t="s">
        <v>923</v>
      </c>
      <c r="U59" s="90" t="s">
        <v>2407</v>
      </c>
    </row>
    <row r="60" spans="1:21" s="54" customFormat="1" ht="60" hidden="1" customHeight="1" outlineLevel="1" x14ac:dyDescent="0.25">
      <c r="A60" s="50" t="s">
        <v>219</v>
      </c>
      <c r="B60" s="50" t="s">
        <v>231</v>
      </c>
      <c r="C60" s="50" t="s">
        <v>2913</v>
      </c>
      <c r="D60" s="50" t="s">
        <v>2215</v>
      </c>
      <c r="E60" s="90" t="s">
        <v>2123</v>
      </c>
      <c r="F60" s="90" t="s">
        <v>162</v>
      </c>
      <c r="G60" s="90" t="s">
        <v>2692</v>
      </c>
      <c r="H60" s="193">
        <v>105</v>
      </c>
      <c r="I60" s="181" t="s">
        <v>1520</v>
      </c>
      <c r="J60" s="221">
        <f>IF(H60&gt;0,(H60*VLOOKUP(Lookups!$K$11,Lookups!$M$10:$P$43,4,0)/VLOOKUP(I60,Lookups!$M$10:$P$43,4,0)),"")</f>
        <v>108.14191732517679</v>
      </c>
      <c r="K60" s="165"/>
      <c r="L60" s="181"/>
      <c r="M60" s="221" t="str">
        <f>IF(K60&gt;0,(K60*VLOOKUP(Lookups!$K$11,Lookups!$M$10:$P$43,4,0)/VLOOKUP(L60,Lookups!$M$10:$P$43,4,0)),"")</f>
        <v/>
      </c>
      <c r="N60" s="165"/>
      <c r="O60" s="181"/>
      <c r="P60" s="221" t="str">
        <f>IF(N60&gt;0,(N60*VLOOKUP(Lookups!$K$11,Lookups!$M$10:$P$43,4,0)/VLOOKUP(O60,Lookups!$M$10:$P$43,4,0)),"")</f>
        <v/>
      </c>
      <c r="Q60" s="173" t="s">
        <v>2411</v>
      </c>
      <c r="R60" s="181" t="s">
        <v>154</v>
      </c>
      <c r="S60" s="174" t="s">
        <v>2418</v>
      </c>
      <c r="T60" s="181" t="s">
        <v>923</v>
      </c>
      <c r="U60" s="90" t="s">
        <v>2407</v>
      </c>
    </row>
    <row r="61" spans="1:21" s="54" customFormat="1" ht="60" hidden="1" customHeight="1" outlineLevel="1" x14ac:dyDescent="0.25">
      <c r="A61" s="50" t="s">
        <v>219</v>
      </c>
      <c r="B61" s="50" t="s">
        <v>231</v>
      </c>
      <c r="C61" s="50" t="s">
        <v>2914</v>
      </c>
      <c r="D61" s="50" t="s">
        <v>2216</v>
      </c>
      <c r="E61" s="90" t="s">
        <v>2123</v>
      </c>
      <c r="F61" s="90" t="s">
        <v>162</v>
      </c>
      <c r="G61" s="90" t="s">
        <v>2692</v>
      </c>
      <c r="H61" s="193">
        <v>115</v>
      </c>
      <c r="I61" s="181" t="s">
        <v>1520</v>
      </c>
      <c r="J61" s="221">
        <f>IF(H61&gt;0,(H61*VLOOKUP(Lookups!$K$11,Lookups!$M$10:$P$43,4,0)/VLOOKUP(I61,Lookups!$M$10:$P$43,4,0)),"")</f>
        <v>118.4411475466222</v>
      </c>
      <c r="K61" s="165"/>
      <c r="L61" s="181"/>
      <c r="M61" s="221" t="str">
        <f>IF(K61&gt;0,(K61*VLOOKUP(Lookups!$K$11,Lookups!$M$10:$P$43,4,0)/VLOOKUP(L61,Lookups!$M$10:$P$43,4,0)),"")</f>
        <v/>
      </c>
      <c r="N61" s="165"/>
      <c r="O61" s="181"/>
      <c r="P61" s="221" t="str">
        <f>IF(N61&gt;0,(N61*VLOOKUP(Lookups!$K$11,Lookups!$M$10:$P$43,4,0)/VLOOKUP(O61,Lookups!$M$10:$P$43,4,0)),"")</f>
        <v/>
      </c>
      <c r="Q61" s="173" t="s">
        <v>2411</v>
      </c>
      <c r="R61" s="181" t="s">
        <v>154</v>
      </c>
      <c r="S61" s="174" t="s">
        <v>2419</v>
      </c>
      <c r="T61" s="181" t="s">
        <v>923</v>
      </c>
      <c r="U61" s="90" t="s">
        <v>2407</v>
      </c>
    </row>
    <row r="62" spans="1:21" s="54" customFormat="1" ht="60" hidden="1" customHeight="1" outlineLevel="1" collapsed="1" x14ac:dyDescent="0.25">
      <c r="A62" s="50" t="s">
        <v>219</v>
      </c>
      <c r="B62" s="50" t="s">
        <v>231</v>
      </c>
      <c r="C62" s="50" t="s">
        <v>2915</v>
      </c>
      <c r="D62" s="50" t="s">
        <v>2217</v>
      </c>
      <c r="E62" s="90" t="s">
        <v>2123</v>
      </c>
      <c r="F62" s="90" t="s">
        <v>162</v>
      </c>
      <c r="G62" s="90" t="s">
        <v>2692</v>
      </c>
      <c r="H62" s="193">
        <v>137</v>
      </c>
      <c r="I62" s="181" t="s">
        <v>1520</v>
      </c>
      <c r="J62" s="221">
        <f>IF(H62&gt;0,(H62*VLOOKUP(Lookups!$K$11,Lookups!$M$10:$P$43,4,0)/VLOOKUP(I62,Lookups!$M$10:$P$43,4,0)),"")</f>
        <v>141.09945403380209</v>
      </c>
      <c r="K62" s="165"/>
      <c r="L62" s="181"/>
      <c r="M62" s="221" t="str">
        <f>IF(K62&gt;0,(K62*VLOOKUP(Lookups!$K$11,Lookups!$M$10:$P$43,4,0)/VLOOKUP(L62,Lookups!$M$10:$P$43,4,0)),"")</f>
        <v/>
      </c>
      <c r="N62" s="165"/>
      <c r="O62" s="181"/>
      <c r="P62" s="221" t="str">
        <f>IF(N62&gt;0,(N62*VLOOKUP(Lookups!$K$11,Lookups!$M$10:$P$43,4,0)/VLOOKUP(O62,Lookups!$M$10:$P$43,4,0)),"")</f>
        <v/>
      </c>
      <c r="Q62" s="173" t="s">
        <v>2411</v>
      </c>
      <c r="R62" s="181" t="s">
        <v>154</v>
      </c>
      <c r="S62" s="174" t="s">
        <v>2420</v>
      </c>
      <c r="T62" s="181" t="s">
        <v>923</v>
      </c>
      <c r="U62" s="90" t="s">
        <v>2407</v>
      </c>
    </row>
    <row r="63" spans="1:21" s="54" customFormat="1" ht="60" hidden="1" customHeight="1" outlineLevel="1" x14ac:dyDescent="0.25">
      <c r="A63" s="50" t="s">
        <v>219</v>
      </c>
      <c r="B63" s="50" t="s">
        <v>231</v>
      </c>
      <c r="C63" s="50" t="s">
        <v>2916</v>
      </c>
      <c r="D63" s="50" t="s">
        <v>2218</v>
      </c>
      <c r="E63" s="90" t="s">
        <v>2123</v>
      </c>
      <c r="F63" s="90" t="s">
        <v>162</v>
      </c>
      <c r="G63" s="90" t="s">
        <v>2692</v>
      </c>
      <c r="H63" s="165">
        <v>41</v>
      </c>
      <c r="I63" s="181" t="s">
        <v>1520</v>
      </c>
      <c r="J63" s="221">
        <f>IF(H63&gt;0,(H63*VLOOKUP(Lookups!$K$11,Lookups!$M$10:$P$43,4,0)/VLOOKUP(I63,Lookups!$M$10:$P$43,4,0)),"")</f>
        <v>42.226843907926174</v>
      </c>
      <c r="K63" s="165"/>
      <c r="L63" s="181"/>
      <c r="M63" s="221" t="str">
        <f>IF(K63&gt;0,(K63*VLOOKUP(Lookups!$K$11,Lookups!$M$10:$P$43,4,0)/VLOOKUP(L63,Lookups!$M$10:$P$43,4,0)),"")</f>
        <v/>
      </c>
      <c r="N63" s="165"/>
      <c r="O63" s="181"/>
      <c r="P63" s="221" t="str">
        <f>IF(N63&gt;0,(N63*VLOOKUP(Lookups!$K$11,Lookups!$M$10:$P$43,4,0)/VLOOKUP(O63,Lookups!$M$10:$P$43,4,0)),"")</f>
        <v/>
      </c>
      <c r="Q63" s="173" t="s">
        <v>2421</v>
      </c>
      <c r="R63" s="181" t="s">
        <v>154</v>
      </c>
      <c r="S63" s="90" t="s">
        <v>2728</v>
      </c>
      <c r="T63" s="181" t="s">
        <v>923</v>
      </c>
      <c r="U63" s="90" t="s">
        <v>2407</v>
      </c>
    </row>
    <row r="64" spans="1:21" s="54" customFormat="1" ht="60" hidden="1" customHeight="1" outlineLevel="1" x14ac:dyDescent="0.25">
      <c r="A64" s="50" t="s">
        <v>219</v>
      </c>
      <c r="B64" s="50" t="s">
        <v>231</v>
      </c>
      <c r="C64" s="50" t="s">
        <v>2917</v>
      </c>
      <c r="D64" s="50" t="s">
        <v>2219</v>
      </c>
      <c r="E64" s="90" t="s">
        <v>2123</v>
      </c>
      <c r="F64" s="90" t="s">
        <v>162</v>
      </c>
      <c r="G64" s="90" t="s">
        <v>2692</v>
      </c>
      <c r="H64" s="165">
        <v>43</v>
      </c>
      <c r="I64" s="181" t="s">
        <v>1520</v>
      </c>
      <c r="J64" s="221">
        <f>IF(H64&gt;0,(H64*VLOOKUP(Lookups!$K$11,Lookups!$M$10:$P$43,4,0)/VLOOKUP(I64,Lookups!$M$10:$P$43,4,0)),"")</f>
        <v>44.286689952215255</v>
      </c>
      <c r="K64" s="165"/>
      <c r="L64" s="181"/>
      <c r="M64" s="221" t="str">
        <f>IF(K64&gt;0,(K64*VLOOKUP(Lookups!$K$11,Lookups!$M$10:$P$43,4,0)/VLOOKUP(L64,Lookups!$M$10:$P$43,4,0)),"")</f>
        <v/>
      </c>
      <c r="N64" s="165"/>
      <c r="O64" s="181"/>
      <c r="P64" s="221" t="str">
        <f>IF(N64&gt;0,(N64*VLOOKUP(Lookups!$K$11,Lookups!$M$10:$P$43,4,0)/VLOOKUP(O64,Lookups!$M$10:$P$43,4,0)),"")</f>
        <v/>
      </c>
      <c r="Q64" s="173" t="s">
        <v>2421</v>
      </c>
      <c r="R64" s="181" t="s">
        <v>154</v>
      </c>
      <c r="S64" s="90" t="s">
        <v>2727</v>
      </c>
      <c r="T64" s="181" t="s">
        <v>923</v>
      </c>
      <c r="U64" s="90" t="s">
        <v>2407</v>
      </c>
    </row>
    <row r="65" spans="1:21" s="54" customFormat="1" ht="60" hidden="1" customHeight="1" outlineLevel="1" x14ac:dyDescent="0.25">
      <c r="A65" s="50" t="s">
        <v>219</v>
      </c>
      <c r="B65" s="50" t="s">
        <v>231</v>
      </c>
      <c r="C65" s="50" t="s">
        <v>2918</v>
      </c>
      <c r="D65" s="50" t="s">
        <v>2220</v>
      </c>
      <c r="E65" s="90" t="s">
        <v>2123</v>
      </c>
      <c r="F65" s="90" t="s">
        <v>162</v>
      </c>
      <c r="G65" s="90" t="s">
        <v>2692</v>
      </c>
      <c r="H65" s="165">
        <v>41</v>
      </c>
      <c r="I65" s="181" t="s">
        <v>1520</v>
      </c>
      <c r="J65" s="221">
        <f>IF(H65&gt;0,(H65*VLOOKUP(Lookups!$K$11,Lookups!$M$10:$P$43,4,0)/VLOOKUP(I65,Lookups!$M$10:$P$43,4,0)),"")</f>
        <v>42.226843907926174</v>
      </c>
      <c r="K65" s="165"/>
      <c r="L65" s="181"/>
      <c r="M65" s="221" t="str">
        <f>IF(K65&gt;0,(K65*VLOOKUP(Lookups!$K$11,Lookups!$M$10:$P$43,4,0)/VLOOKUP(L65,Lookups!$M$10:$P$43,4,0)),"")</f>
        <v/>
      </c>
      <c r="N65" s="165"/>
      <c r="O65" s="181"/>
      <c r="P65" s="221" t="str">
        <f>IF(N65&gt;0,(N65*VLOOKUP(Lookups!$K$11,Lookups!$M$10:$P$43,4,0)/VLOOKUP(O65,Lookups!$M$10:$P$43,4,0)),"")</f>
        <v/>
      </c>
      <c r="Q65" s="173" t="s">
        <v>2421</v>
      </c>
      <c r="R65" s="181" t="s">
        <v>154</v>
      </c>
      <c r="S65" s="90" t="s">
        <v>2726</v>
      </c>
      <c r="T65" s="181" t="s">
        <v>923</v>
      </c>
      <c r="U65" s="90" t="s">
        <v>2407</v>
      </c>
    </row>
    <row r="66" spans="1:21" s="53" customFormat="1" ht="60" hidden="1" customHeight="1" outlineLevel="1" x14ac:dyDescent="0.25">
      <c r="A66" s="50" t="s">
        <v>219</v>
      </c>
      <c r="B66" s="50" t="s">
        <v>231</v>
      </c>
      <c r="C66" s="50" t="s">
        <v>2919</v>
      </c>
      <c r="D66" s="50" t="s">
        <v>2729</v>
      </c>
      <c r="E66" s="4" t="s">
        <v>161</v>
      </c>
      <c r="F66" s="4" t="s">
        <v>162</v>
      </c>
      <c r="G66" s="4" t="s">
        <v>2692</v>
      </c>
      <c r="H66" s="193">
        <v>123</v>
      </c>
      <c r="I66" s="181" t="s">
        <v>1520</v>
      </c>
      <c r="J66" s="221">
        <f>IF(H66&gt;0,(H66*VLOOKUP(Lookups!$K$11,Lookups!$M$10:$P$43,4,0)/VLOOKUP(I66,Lookups!$M$10:$P$43,4,0)),"")</f>
        <v>126.68053172377851</v>
      </c>
      <c r="K66" s="11"/>
      <c r="L66" s="181"/>
      <c r="M66" s="221" t="str">
        <f>IF(K66&gt;0,(K66*VLOOKUP(Lookups!$K$11,Lookups!$M$10:$P$43,4,0)/VLOOKUP(L66,Lookups!$M$10:$P$43,4,0)),"")</f>
        <v/>
      </c>
      <c r="N66" s="11"/>
      <c r="O66" s="181"/>
      <c r="P66" s="221" t="str">
        <f>IF(N66&gt;0,(N66*VLOOKUP(Lookups!$K$11,Lookups!$M$10:$P$43,4,0)/VLOOKUP(O66,Lookups!$M$10:$P$43,4,0)),"")</f>
        <v/>
      </c>
      <c r="Q66" s="173" t="s">
        <v>2422</v>
      </c>
      <c r="R66" s="181" t="s">
        <v>154</v>
      </c>
      <c r="S66" s="174" t="s">
        <v>2730</v>
      </c>
      <c r="T66" s="176" t="s">
        <v>923</v>
      </c>
      <c r="U66" s="90" t="s">
        <v>2407</v>
      </c>
    </row>
    <row r="67" spans="1:21" s="53" customFormat="1" ht="60" hidden="1" customHeight="1" outlineLevel="1" x14ac:dyDescent="0.25">
      <c r="A67" s="50" t="s">
        <v>219</v>
      </c>
      <c r="B67" s="50" t="s">
        <v>231</v>
      </c>
      <c r="C67" s="50" t="s">
        <v>2920</v>
      </c>
      <c r="D67" s="50" t="s">
        <v>1183</v>
      </c>
      <c r="E67" s="4" t="s">
        <v>161</v>
      </c>
      <c r="F67" s="4" t="s">
        <v>162</v>
      </c>
      <c r="G67" s="4" t="s">
        <v>2692</v>
      </c>
      <c r="H67" s="193">
        <v>122</v>
      </c>
      <c r="I67" s="181" t="s">
        <v>1520</v>
      </c>
      <c r="J67" s="221">
        <f>IF(H67&gt;0,(H67*VLOOKUP(Lookups!$K$11,Lookups!$M$10:$P$43,4,0)/VLOOKUP(I67,Lookups!$M$10:$P$43,4,0)),"")</f>
        <v>125.65060870163398</v>
      </c>
      <c r="K67" s="11"/>
      <c r="L67" s="181"/>
      <c r="M67" s="221" t="str">
        <f>IF(K67&gt;0,(K67*VLOOKUP(Lookups!$K$11,Lookups!$M$10:$P$43,4,0)/VLOOKUP(L67,Lookups!$M$10:$P$43,4,0)),"")</f>
        <v/>
      </c>
      <c r="N67" s="11"/>
      <c r="O67" s="181"/>
      <c r="P67" s="221" t="str">
        <f>IF(N67&gt;0,(N67*VLOOKUP(Lookups!$K$11,Lookups!$M$10:$P$43,4,0)/VLOOKUP(O67,Lookups!$M$10:$P$43,4,0)),"")</f>
        <v/>
      </c>
      <c r="Q67" s="173" t="s">
        <v>2423</v>
      </c>
      <c r="R67" s="181" t="s">
        <v>154</v>
      </c>
      <c r="S67" s="174" t="s">
        <v>3049</v>
      </c>
      <c r="T67" s="176" t="s">
        <v>923</v>
      </c>
      <c r="U67" s="90" t="s">
        <v>2407</v>
      </c>
    </row>
    <row r="68" spans="1:21" s="53" customFormat="1" ht="60" hidden="1" customHeight="1" outlineLevel="1" x14ac:dyDescent="0.25">
      <c r="A68" s="50" t="s">
        <v>219</v>
      </c>
      <c r="B68" s="50" t="s">
        <v>231</v>
      </c>
      <c r="C68" s="50" t="s">
        <v>2921</v>
      </c>
      <c r="D68" s="50" t="s">
        <v>1184</v>
      </c>
      <c r="E68" s="4" t="s">
        <v>161</v>
      </c>
      <c r="F68" s="4" t="s">
        <v>162</v>
      </c>
      <c r="G68" s="4" t="s">
        <v>2692</v>
      </c>
      <c r="H68" s="193">
        <v>123</v>
      </c>
      <c r="I68" s="181" t="s">
        <v>1520</v>
      </c>
      <c r="J68" s="221">
        <f>IF(H68&gt;0,(H68*VLOOKUP(Lookups!$K$11,Lookups!$M$10:$P$43,4,0)/VLOOKUP(I68,Lookups!$M$10:$P$43,4,0)),"")</f>
        <v>126.68053172377851</v>
      </c>
      <c r="K68" s="11"/>
      <c r="L68" s="181"/>
      <c r="M68" s="221" t="str">
        <f>IF(K68&gt;0,(K68*VLOOKUP(Lookups!$K$11,Lookups!$M$10:$P$43,4,0)/VLOOKUP(L68,Lookups!$M$10:$P$43,4,0)),"")</f>
        <v/>
      </c>
      <c r="N68" s="11"/>
      <c r="O68" s="181"/>
      <c r="P68" s="221" t="str">
        <f>IF(N68&gt;0,(N68*VLOOKUP(Lookups!$K$11,Lookups!$M$10:$P$43,4,0)/VLOOKUP(O68,Lookups!$M$10:$P$43,4,0)),"")</f>
        <v/>
      </c>
      <c r="Q68" s="173" t="s">
        <v>2422</v>
      </c>
      <c r="R68" s="181" t="s">
        <v>154</v>
      </c>
      <c r="S68" s="174" t="s">
        <v>2731</v>
      </c>
      <c r="T68" s="176" t="s">
        <v>923</v>
      </c>
      <c r="U68" s="90" t="s">
        <v>2407</v>
      </c>
    </row>
    <row r="69" spans="1:21" s="36" customFormat="1" ht="60" customHeight="1" collapsed="1" x14ac:dyDescent="0.25">
      <c r="A69" s="38" t="s">
        <v>219</v>
      </c>
      <c r="B69" s="38" t="s">
        <v>231</v>
      </c>
      <c r="C69" s="38" t="s">
        <v>958</v>
      </c>
      <c r="D69" s="38" t="s">
        <v>1967</v>
      </c>
      <c r="E69" s="12" t="s">
        <v>170</v>
      </c>
      <c r="F69" s="12" t="s">
        <v>162</v>
      </c>
      <c r="G69" s="12" t="s">
        <v>207</v>
      </c>
      <c r="H69" s="14">
        <v>458</v>
      </c>
      <c r="I69" s="15" t="s">
        <v>254</v>
      </c>
      <c r="J69" s="17">
        <f>IF(H69&gt;0,(H69*VLOOKUP(Lookups!$K$11,Lookups!$M$10:$P$43,4,0)/VLOOKUP(I69,Lookups!$M$10:$P$43,4,0)),"")</f>
        <v>563.97083042172801</v>
      </c>
      <c r="K69" s="14"/>
      <c r="L69" s="15"/>
      <c r="M69" s="17" t="str">
        <f>IF(K69&gt;0,(K69*VLOOKUP(Lookups!$K$11,Lookups!$M$10:$P$43,4,0)/VLOOKUP(L69,Lookups!$M$10:$P$43,4,0)),"")</f>
        <v/>
      </c>
      <c r="N69" s="14"/>
      <c r="O69" s="15"/>
      <c r="P69" s="17" t="str">
        <f>IF(N69&gt;0,(N69*VLOOKUP(Lookups!$K$11,Lookups!$M$10:$P$43,4,0)/VLOOKUP(O69,Lookups!$M$10:$P$43,4,0)),"")</f>
        <v/>
      </c>
      <c r="Q69" s="143" t="s">
        <v>1968</v>
      </c>
      <c r="R69" s="15" t="s">
        <v>149</v>
      </c>
      <c r="S69" s="140" t="s">
        <v>2227</v>
      </c>
      <c r="T69" s="176"/>
      <c r="U69" s="4"/>
    </row>
    <row r="70" spans="1:21" s="36" customFormat="1" ht="60" hidden="1" customHeight="1" outlineLevel="1" x14ac:dyDescent="0.25">
      <c r="A70" s="42" t="s">
        <v>219</v>
      </c>
      <c r="B70" s="42" t="s">
        <v>231</v>
      </c>
      <c r="C70" s="42" t="s">
        <v>31</v>
      </c>
      <c r="D70" s="42" t="s">
        <v>1969</v>
      </c>
      <c r="E70" s="12" t="s">
        <v>170</v>
      </c>
      <c r="F70" s="12" t="s">
        <v>162</v>
      </c>
      <c r="G70" s="12" t="s">
        <v>207</v>
      </c>
      <c r="H70" s="14">
        <v>315</v>
      </c>
      <c r="I70" s="15" t="s">
        <v>254</v>
      </c>
      <c r="J70" s="17">
        <f>IF(H70&gt;0,(H70*VLOOKUP(Lookups!$K$11,Lookups!$M$10:$P$43,4,0)/VLOOKUP(I70,Lookups!$M$10:$P$43,4,0)),"")</f>
        <v>387.88386808481295</v>
      </c>
      <c r="K70" s="14"/>
      <c r="L70" s="15"/>
      <c r="M70" s="17" t="str">
        <f>IF(K70&gt;0,(K70*VLOOKUP(Lookups!$K$11,Lookups!$M$10:$P$43,4,0)/VLOOKUP(L70,Lookups!$M$10:$P$43,4,0)),"")</f>
        <v/>
      </c>
      <c r="N70" s="14"/>
      <c r="O70" s="15"/>
      <c r="P70" s="17" t="str">
        <f>IF(N70&gt;0,(N70*VLOOKUP(Lookups!$K$11,Lookups!$M$10:$P$43,4,0)/VLOOKUP(O70,Lookups!$M$10:$P$43,4,0)),"")</f>
        <v/>
      </c>
      <c r="Q70" s="143" t="s">
        <v>1970</v>
      </c>
      <c r="R70" s="15" t="s">
        <v>149</v>
      </c>
      <c r="S70" s="140" t="s">
        <v>2228</v>
      </c>
      <c r="T70" s="176"/>
      <c r="U70" s="4"/>
    </row>
    <row r="71" spans="1:21" s="36" customFormat="1" ht="60" customHeight="1" collapsed="1" x14ac:dyDescent="0.25">
      <c r="A71" s="38" t="s">
        <v>219</v>
      </c>
      <c r="B71" s="38" t="s">
        <v>230</v>
      </c>
      <c r="C71" s="38" t="s">
        <v>959</v>
      </c>
      <c r="D71" s="38" t="s">
        <v>879</v>
      </c>
      <c r="E71" s="12" t="s">
        <v>626</v>
      </c>
      <c r="F71" s="12" t="s">
        <v>162</v>
      </c>
      <c r="G71" s="4" t="s">
        <v>667</v>
      </c>
      <c r="H71" s="14">
        <v>830</v>
      </c>
      <c r="I71" s="15" t="s">
        <v>193</v>
      </c>
      <c r="J71" s="17">
        <f>IF(H71&gt;0,(H71*VLOOKUP(Lookups!$K$11,Lookups!$M$10:$P$43,4,0)/VLOOKUP(I71,Lookups!$M$10:$P$43,4,0)),"")</f>
        <v>1125.3365598152081</v>
      </c>
      <c r="K71" s="14">
        <v>3841</v>
      </c>
      <c r="L71" s="15" t="s">
        <v>193</v>
      </c>
      <c r="M71" s="17">
        <f>IF(K71&gt;0,(K71*VLOOKUP(Lookups!$K$11,Lookups!$M$10:$P$43,4,0)/VLOOKUP(L71,Lookups!$M$10:$P$43,4,0)),"")</f>
        <v>5207.7322003014624</v>
      </c>
      <c r="N71" s="14"/>
      <c r="O71" s="15"/>
      <c r="P71" s="17" t="str">
        <f>IF(N71&gt;0,(N71*VLOOKUP(Lookups!$K$11,Lookups!$M$10:$P$43,4,0)/VLOOKUP(O71,Lookups!$M$10:$P$43,4,0)),"")</f>
        <v/>
      </c>
      <c r="Q71" s="143" t="s">
        <v>281</v>
      </c>
      <c r="R71" s="15" t="s">
        <v>149</v>
      </c>
      <c r="S71" s="12" t="s">
        <v>2681</v>
      </c>
      <c r="T71" s="176"/>
      <c r="U71" s="4"/>
    </row>
    <row r="72" spans="1:21" s="36" customFormat="1" ht="60" hidden="1" customHeight="1" outlineLevel="2" x14ac:dyDescent="0.25">
      <c r="A72" s="12" t="s">
        <v>219</v>
      </c>
      <c r="B72" s="12" t="s">
        <v>230</v>
      </c>
      <c r="C72" s="12" t="s">
        <v>2922</v>
      </c>
      <c r="D72" s="44" t="s">
        <v>282</v>
      </c>
      <c r="E72" s="12" t="s">
        <v>626</v>
      </c>
      <c r="F72" s="12" t="s">
        <v>162</v>
      </c>
      <c r="G72" s="12" t="s">
        <v>2692</v>
      </c>
      <c r="H72" s="14">
        <v>764</v>
      </c>
      <c r="I72" s="15" t="s">
        <v>193</v>
      </c>
      <c r="J72" s="17">
        <f>IF(H72&gt;0,(H72*VLOOKUP(Lookups!$K$11,Lookups!$M$10:$P$43,4,0)/VLOOKUP(I72,Lookups!$M$10:$P$43,4,0)),"")</f>
        <v>1035.8519659021915</v>
      </c>
      <c r="K72" s="14"/>
      <c r="L72" s="15"/>
      <c r="M72" s="17" t="str">
        <f>IF(K72&gt;0,(K72*VLOOKUP(Lookups!$K$11,Lookups!$M$10:$P$43,4,0)/VLOOKUP(L72,Lookups!$M$10:$P$43,4,0)),"")</f>
        <v/>
      </c>
      <c r="N72" s="14"/>
      <c r="O72" s="15"/>
      <c r="P72" s="17" t="str">
        <f>IF(N72&gt;0,(N72*VLOOKUP(Lookups!$K$11,Lookups!$M$10:$P$43,4,0)/VLOOKUP(O72,Lookups!$M$10:$P$43,4,0)),"")</f>
        <v/>
      </c>
      <c r="Q72" s="143" t="s">
        <v>284</v>
      </c>
      <c r="R72" s="15" t="s">
        <v>149</v>
      </c>
      <c r="S72" s="12" t="s">
        <v>1267</v>
      </c>
      <c r="T72" s="176"/>
      <c r="U72" s="4"/>
    </row>
    <row r="73" spans="1:21" s="36" customFormat="1" ht="60" hidden="1" customHeight="1" outlineLevel="2" x14ac:dyDescent="0.25">
      <c r="A73" s="12" t="s">
        <v>219</v>
      </c>
      <c r="B73" s="12" t="s">
        <v>230</v>
      </c>
      <c r="C73" s="12" t="s">
        <v>2923</v>
      </c>
      <c r="D73" s="44" t="s">
        <v>283</v>
      </c>
      <c r="E73" s="12" t="s">
        <v>626</v>
      </c>
      <c r="F73" s="12" t="s">
        <v>210</v>
      </c>
      <c r="G73" s="4" t="s">
        <v>631</v>
      </c>
      <c r="H73" s="14">
        <v>66</v>
      </c>
      <c r="I73" s="15" t="s">
        <v>193</v>
      </c>
      <c r="J73" s="17">
        <f>IF(H73&gt;0,(H73*VLOOKUP(Lookups!$K$11,Lookups!$M$10:$P$43,4,0)/VLOOKUP(I73,Lookups!$M$10:$P$43,4,0)),"")</f>
        <v>89.484593913016539</v>
      </c>
      <c r="K73" s="14"/>
      <c r="L73" s="15"/>
      <c r="M73" s="17" t="str">
        <f>IF(K73&gt;0,(K73*VLOOKUP(Lookups!$K$11,Lookups!$M$10:$P$43,4,0)/VLOOKUP(L73,Lookups!$M$10:$P$43,4,0)),"")</f>
        <v/>
      </c>
      <c r="N73" s="14"/>
      <c r="O73" s="15"/>
      <c r="P73" s="17" t="str">
        <f>IF(N73&gt;0,(N73*VLOOKUP(Lookups!$K$11,Lookups!$M$10:$P$43,4,0)/VLOOKUP(O73,Lookups!$M$10:$P$43,4,0)),"")</f>
        <v/>
      </c>
      <c r="Q73" s="143" t="s">
        <v>307</v>
      </c>
      <c r="R73" s="15" t="s">
        <v>149</v>
      </c>
      <c r="S73" s="12" t="s">
        <v>1268</v>
      </c>
      <c r="T73" s="176"/>
      <c r="U73" s="4"/>
    </row>
    <row r="74" spans="1:21" s="36" customFormat="1" ht="60" hidden="1" customHeight="1" outlineLevel="1" collapsed="1" x14ac:dyDescent="0.25">
      <c r="A74" s="42" t="s">
        <v>219</v>
      </c>
      <c r="B74" s="42" t="s">
        <v>230</v>
      </c>
      <c r="C74" s="42" t="s">
        <v>32</v>
      </c>
      <c r="D74" s="42" t="s">
        <v>44</v>
      </c>
      <c r="E74" s="12" t="s">
        <v>626</v>
      </c>
      <c r="F74" s="12" t="s">
        <v>210</v>
      </c>
      <c r="G74" s="4" t="s">
        <v>162</v>
      </c>
      <c r="H74" s="14">
        <v>1990</v>
      </c>
      <c r="I74" s="15" t="s">
        <v>193</v>
      </c>
      <c r="J74" s="17">
        <f>IF(H74&gt;0,(H74*VLOOKUP(Lookups!$K$11,Lookups!$M$10:$P$43,4,0)/VLOOKUP(I74,Lookups!$M$10:$P$43,4,0)),"")</f>
        <v>2698.0960891954987</v>
      </c>
      <c r="K74" s="14">
        <v>4040</v>
      </c>
      <c r="L74" s="15" t="s">
        <v>193</v>
      </c>
      <c r="M74" s="17">
        <f>IF(K74&gt;0,(K74*VLOOKUP(Lookups!$K$11,Lookups!$M$10:$P$43,4,0)/VLOOKUP(L74,Lookups!$M$10:$P$43,4,0)),"")</f>
        <v>5477.541809221013</v>
      </c>
      <c r="N74" s="14"/>
      <c r="O74" s="15"/>
      <c r="P74" s="17" t="str">
        <f>IF(N74&gt;0,(N74*VLOOKUP(Lookups!$K$11,Lookups!$M$10:$P$43,4,0)/VLOOKUP(O74,Lookups!$M$10:$P$43,4,0)),"")</f>
        <v/>
      </c>
      <c r="Q74" s="143" t="s">
        <v>308</v>
      </c>
      <c r="R74" s="15" t="s">
        <v>149</v>
      </c>
      <c r="S74" s="12" t="s">
        <v>2682</v>
      </c>
      <c r="T74" s="176"/>
      <c r="U74" s="4"/>
    </row>
    <row r="75" spans="1:21" s="36" customFormat="1" ht="60" hidden="1" customHeight="1" outlineLevel="2" x14ac:dyDescent="0.25">
      <c r="A75" s="12" t="s">
        <v>219</v>
      </c>
      <c r="B75" s="12" t="s">
        <v>230</v>
      </c>
      <c r="C75" s="12" t="s">
        <v>2924</v>
      </c>
      <c r="D75" s="44" t="s">
        <v>310</v>
      </c>
      <c r="E75" s="12" t="s">
        <v>626</v>
      </c>
      <c r="F75" s="12" t="s">
        <v>210</v>
      </c>
      <c r="G75" s="4" t="s">
        <v>631</v>
      </c>
      <c r="H75" s="14">
        <v>1126</v>
      </c>
      <c r="I75" s="15" t="s">
        <v>193</v>
      </c>
      <c r="J75" s="17">
        <f>IF(H75&gt;0,(H75*VLOOKUP(Lookups!$K$11,Lookups!$M$10:$P$43,4,0)/VLOOKUP(I75,Lookups!$M$10:$P$43,4,0)),"")</f>
        <v>1526.6614052432822</v>
      </c>
      <c r="K75" s="14"/>
      <c r="L75" s="15"/>
      <c r="M75" s="17" t="str">
        <f>IF(K75&gt;0,(K75*VLOOKUP(Lookups!$K$11,Lookups!$M$10:$P$43,4,0)/VLOOKUP(L75,Lookups!$M$10:$P$43,4,0)),"")</f>
        <v/>
      </c>
      <c r="N75" s="14"/>
      <c r="O75" s="15"/>
      <c r="P75" s="17" t="str">
        <f>IF(N75&gt;0,(N75*VLOOKUP(Lookups!$K$11,Lookups!$M$10:$P$43,4,0)/VLOOKUP(O75,Lookups!$M$10:$P$43,4,0)),"")</f>
        <v/>
      </c>
      <c r="Q75" s="143" t="s">
        <v>308</v>
      </c>
      <c r="R75" s="15" t="s">
        <v>149</v>
      </c>
      <c r="S75" s="12" t="s">
        <v>1269</v>
      </c>
      <c r="T75" s="176"/>
      <c r="U75" s="4"/>
    </row>
    <row r="76" spans="1:21" s="36" customFormat="1" ht="60" hidden="1" customHeight="1" outlineLevel="2" x14ac:dyDescent="0.25">
      <c r="A76" s="12" t="s">
        <v>219</v>
      </c>
      <c r="B76" s="12" t="s">
        <v>230</v>
      </c>
      <c r="C76" s="12" t="s">
        <v>2925</v>
      </c>
      <c r="D76" s="44" t="s">
        <v>309</v>
      </c>
      <c r="E76" s="12" t="s">
        <v>626</v>
      </c>
      <c r="F76" s="12" t="s">
        <v>162</v>
      </c>
      <c r="G76" s="12" t="s">
        <v>2692</v>
      </c>
      <c r="H76" s="14">
        <v>850</v>
      </c>
      <c r="I76" s="15" t="s">
        <v>193</v>
      </c>
      <c r="J76" s="17">
        <f>IF(H76&gt;0,(H76*VLOOKUP(Lookups!$K$11,Lookups!$M$10:$P$43,4,0)/VLOOKUP(I76,Lookups!$M$10:$P$43,4,0)),"")</f>
        <v>1152.4531034252132</v>
      </c>
      <c r="K76" s="14"/>
      <c r="L76" s="15"/>
      <c r="M76" s="17" t="str">
        <f>IF(K76&gt;0,(K76*VLOOKUP(Lookups!$K$11,Lookups!$M$10:$P$43,4,0)/VLOOKUP(L76,Lookups!$M$10:$P$43,4,0)),"")</f>
        <v/>
      </c>
      <c r="N76" s="14"/>
      <c r="O76" s="15"/>
      <c r="P76" s="17" t="str">
        <f>IF(N76&gt;0,(N76*VLOOKUP(Lookups!$K$11,Lookups!$M$10:$P$43,4,0)/VLOOKUP(O76,Lookups!$M$10:$P$43,4,0)),"")</f>
        <v/>
      </c>
      <c r="Q76" s="143" t="s">
        <v>308</v>
      </c>
      <c r="R76" s="15" t="s">
        <v>149</v>
      </c>
      <c r="S76" s="12" t="s">
        <v>1270</v>
      </c>
      <c r="T76" s="176"/>
      <c r="U76" s="4"/>
    </row>
    <row r="77" spans="1:21" s="36" customFormat="1" ht="60" hidden="1" customHeight="1" outlineLevel="2" x14ac:dyDescent="0.25">
      <c r="A77" s="12" t="s">
        <v>219</v>
      </c>
      <c r="B77" s="12" t="s">
        <v>230</v>
      </c>
      <c r="C77" s="12" t="s">
        <v>2926</v>
      </c>
      <c r="D77" s="44" t="s">
        <v>313</v>
      </c>
      <c r="E77" s="12" t="s">
        <v>626</v>
      </c>
      <c r="F77" s="12" t="s">
        <v>147</v>
      </c>
      <c r="G77" s="4" t="s">
        <v>201</v>
      </c>
      <c r="H77" s="14">
        <v>14</v>
      </c>
      <c r="I77" s="15" t="s">
        <v>193</v>
      </c>
      <c r="J77" s="17">
        <f>IF(H77&gt;0,(H77*VLOOKUP(Lookups!$K$11,Lookups!$M$10:$P$43,4,0)/VLOOKUP(I77,Lookups!$M$10:$P$43,4,0)),"")</f>
        <v>18.981580527003509</v>
      </c>
      <c r="K77" s="14"/>
      <c r="L77" s="15"/>
      <c r="M77" s="17" t="str">
        <f>IF(K77&gt;0,(K77*VLOOKUP(Lookups!$K$11,Lookups!$M$10:$P$43,4,0)/VLOOKUP(L77,Lookups!$M$10:$P$43,4,0)),"")</f>
        <v/>
      </c>
      <c r="N77" s="14"/>
      <c r="O77" s="15"/>
      <c r="P77" s="17" t="str">
        <f>IF(N77&gt;0,(N77*VLOOKUP(Lookups!$K$11,Lookups!$M$10:$P$43,4,0)/VLOOKUP(O77,Lookups!$M$10:$P$43,4,0)),"")</f>
        <v/>
      </c>
      <c r="Q77" s="143" t="s">
        <v>308</v>
      </c>
      <c r="R77" s="15" t="s">
        <v>149</v>
      </c>
      <c r="S77" s="12" t="s">
        <v>1271</v>
      </c>
      <c r="T77" s="176"/>
      <c r="U77" s="4"/>
    </row>
    <row r="78" spans="1:21" s="36" customFormat="1" ht="60" hidden="1" customHeight="1" outlineLevel="1" collapsed="1" x14ac:dyDescent="0.25">
      <c r="A78" s="42" t="s">
        <v>219</v>
      </c>
      <c r="B78" s="42" t="s">
        <v>230</v>
      </c>
      <c r="C78" s="42" t="s">
        <v>33</v>
      </c>
      <c r="D78" s="42" t="s">
        <v>45</v>
      </c>
      <c r="E78" s="12" t="s">
        <v>626</v>
      </c>
      <c r="F78" s="12" t="s">
        <v>162</v>
      </c>
      <c r="G78" s="4" t="s">
        <v>667</v>
      </c>
      <c r="H78" s="14">
        <v>870</v>
      </c>
      <c r="I78" s="15" t="s">
        <v>193</v>
      </c>
      <c r="J78" s="17">
        <f>IF(H78&gt;0,(H78*VLOOKUP(Lookups!$K$11,Lookups!$M$10:$P$43,4,0)/VLOOKUP(I78,Lookups!$M$10:$P$43,4,0)),"")</f>
        <v>1179.5696470352179</v>
      </c>
      <c r="K78" s="14">
        <v>3637</v>
      </c>
      <c r="L78" s="15" t="s">
        <v>193</v>
      </c>
      <c r="M78" s="17">
        <f>IF(K78&gt;0,(K78*VLOOKUP(Lookups!$K$11,Lookups!$M$10:$P$43,4,0)/VLOOKUP(L78,Lookups!$M$10:$P$43,4,0)),"")</f>
        <v>4931.1434554794114</v>
      </c>
      <c r="N78" s="14"/>
      <c r="O78" s="15"/>
      <c r="P78" s="17" t="str">
        <f>IF(N78&gt;0,(N78*VLOOKUP(Lookups!$K$11,Lookups!$M$10:$P$43,4,0)/VLOOKUP(O78,Lookups!$M$10:$P$43,4,0)),"")</f>
        <v/>
      </c>
      <c r="Q78" s="143" t="s">
        <v>315</v>
      </c>
      <c r="R78" s="15" t="s">
        <v>149</v>
      </c>
      <c r="S78" s="12" t="s">
        <v>2683</v>
      </c>
      <c r="T78" s="176"/>
      <c r="U78" s="4"/>
    </row>
    <row r="79" spans="1:21" s="36" customFormat="1" ht="60" hidden="1" customHeight="1" outlineLevel="2" x14ac:dyDescent="0.25">
      <c r="A79" s="12" t="s">
        <v>219</v>
      </c>
      <c r="B79" s="12" t="s">
        <v>230</v>
      </c>
      <c r="C79" s="12" t="s">
        <v>2927</v>
      </c>
      <c r="D79" s="44" t="s">
        <v>311</v>
      </c>
      <c r="E79" s="12" t="s">
        <v>626</v>
      </c>
      <c r="F79" s="12" t="s">
        <v>162</v>
      </c>
      <c r="G79" s="12" t="s">
        <v>2692</v>
      </c>
      <c r="H79" s="14">
        <v>757</v>
      </c>
      <c r="I79" s="15" t="s">
        <v>193</v>
      </c>
      <c r="J79" s="17">
        <f>IF(H79&gt;0,(H79*VLOOKUP(Lookups!$K$11,Lookups!$M$10:$P$43,4,0)/VLOOKUP(I79,Lookups!$M$10:$P$43,4,0)),"")</f>
        <v>1026.3611756386897</v>
      </c>
      <c r="K79" s="14"/>
      <c r="L79" s="15"/>
      <c r="M79" s="17" t="str">
        <f>IF(K79&gt;0,(K79*VLOOKUP(Lookups!$K$11,Lookups!$M$10:$P$43,4,0)/VLOOKUP(L79,Lookups!$M$10:$P$43,4,0)),"")</f>
        <v/>
      </c>
      <c r="N79" s="14"/>
      <c r="O79" s="15"/>
      <c r="P79" s="17" t="str">
        <f>IF(N79&gt;0,(N79*VLOOKUP(Lookups!$K$11,Lookups!$M$10:$P$43,4,0)/VLOOKUP(O79,Lookups!$M$10:$P$43,4,0)),"")</f>
        <v/>
      </c>
      <c r="Q79" s="143" t="s">
        <v>315</v>
      </c>
      <c r="R79" s="15" t="s">
        <v>149</v>
      </c>
      <c r="S79" s="12" t="s">
        <v>1272</v>
      </c>
      <c r="T79" s="176"/>
      <c r="U79" s="4"/>
    </row>
    <row r="80" spans="1:21" s="36" customFormat="1" ht="60" hidden="1" customHeight="1" outlineLevel="2" x14ac:dyDescent="0.25">
      <c r="A80" s="12" t="s">
        <v>219</v>
      </c>
      <c r="B80" s="12" t="s">
        <v>230</v>
      </c>
      <c r="C80" s="12" t="s">
        <v>2928</v>
      </c>
      <c r="D80" s="44" t="s">
        <v>312</v>
      </c>
      <c r="E80" s="12" t="s">
        <v>626</v>
      </c>
      <c r="F80" s="12" t="s">
        <v>210</v>
      </c>
      <c r="G80" s="4" t="s">
        <v>631</v>
      </c>
      <c r="H80" s="14">
        <v>98</v>
      </c>
      <c r="I80" s="15" t="s">
        <v>193</v>
      </c>
      <c r="J80" s="17">
        <f>IF(H80&gt;0,(H80*VLOOKUP(Lookups!$K$11,Lookups!$M$10:$P$43,4,0)/VLOOKUP(I80,Lookups!$M$10:$P$43,4,0)),"")</f>
        <v>132.87106368902457</v>
      </c>
      <c r="K80" s="14"/>
      <c r="L80" s="15"/>
      <c r="M80" s="17" t="str">
        <f>IF(K80&gt;0,(K80*VLOOKUP(Lookups!$K$11,Lookups!$M$10:$P$43,4,0)/VLOOKUP(L80,Lookups!$M$10:$P$43,4,0)),"")</f>
        <v/>
      </c>
      <c r="N80" s="14"/>
      <c r="O80" s="15"/>
      <c r="P80" s="17" t="str">
        <f>IF(N80&gt;0,(N80*VLOOKUP(Lookups!$K$11,Lookups!$M$10:$P$43,4,0)/VLOOKUP(O80,Lookups!$M$10:$P$43,4,0)),"")</f>
        <v/>
      </c>
      <c r="Q80" s="143" t="s">
        <v>315</v>
      </c>
      <c r="R80" s="15" t="s">
        <v>149</v>
      </c>
      <c r="S80" s="12" t="s">
        <v>1273</v>
      </c>
      <c r="T80" s="176"/>
      <c r="U80" s="4"/>
    </row>
    <row r="81" spans="1:21" s="36" customFormat="1" ht="60" hidden="1" customHeight="1" outlineLevel="2" x14ac:dyDescent="0.25">
      <c r="A81" s="12" t="s">
        <v>219</v>
      </c>
      <c r="B81" s="12" t="s">
        <v>230</v>
      </c>
      <c r="C81" s="12" t="s">
        <v>2929</v>
      </c>
      <c r="D81" s="44" t="s">
        <v>314</v>
      </c>
      <c r="E81" s="12" t="s">
        <v>626</v>
      </c>
      <c r="F81" s="12" t="s">
        <v>147</v>
      </c>
      <c r="G81" s="4" t="s">
        <v>201</v>
      </c>
      <c r="H81" s="14">
        <v>15</v>
      </c>
      <c r="I81" s="15" t="s">
        <v>193</v>
      </c>
      <c r="J81" s="17">
        <f>IF(H81&gt;0,(H81*VLOOKUP(Lookups!$K$11,Lookups!$M$10:$P$43,4,0)/VLOOKUP(I81,Lookups!$M$10:$P$43,4,0)),"")</f>
        <v>20.337407707503761</v>
      </c>
      <c r="K81" s="14"/>
      <c r="L81" s="15"/>
      <c r="M81" s="17" t="str">
        <f>IF(K81&gt;0,(K81*VLOOKUP(Lookups!$K$11,Lookups!$M$10:$P$43,4,0)/VLOOKUP(L81,Lookups!$M$10:$P$43,4,0)),"")</f>
        <v/>
      </c>
      <c r="N81" s="14"/>
      <c r="O81" s="15"/>
      <c r="P81" s="17" t="str">
        <f>IF(N81&gt;0,(N81*VLOOKUP(Lookups!$K$11,Lookups!$M$10:$P$43,4,0)/VLOOKUP(O81,Lookups!$M$10:$P$43,4,0)),"")</f>
        <v/>
      </c>
      <c r="Q81" s="143" t="s">
        <v>315</v>
      </c>
      <c r="R81" s="15" t="s">
        <v>149</v>
      </c>
      <c r="S81" s="12" t="s">
        <v>1274</v>
      </c>
      <c r="T81" s="176"/>
      <c r="U81" s="4"/>
    </row>
    <row r="82" spans="1:21" s="36" customFormat="1" ht="60" hidden="1" customHeight="1" outlineLevel="1" collapsed="1" x14ac:dyDescent="0.25">
      <c r="A82" s="42" t="s">
        <v>219</v>
      </c>
      <c r="B82" s="42" t="s">
        <v>230</v>
      </c>
      <c r="C82" s="42" t="s">
        <v>40</v>
      </c>
      <c r="D82" s="42" t="s">
        <v>46</v>
      </c>
      <c r="E82" s="12" t="s">
        <v>626</v>
      </c>
      <c r="F82" s="12" t="s">
        <v>162</v>
      </c>
      <c r="G82" s="4" t="s">
        <v>667</v>
      </c>
      <c r="H82" s="14">
        <v>1354.84</v>
      </c>
      <c r="I82" s="15" t="s">
        <v>193</v>
      </c>
      <c r="J82" s="17">
        <f>IF(H82&gt;0,(H82*VLOOKUP(Lookups!$K$11,Lookups!$M$10:$P$43,4,0)/VLOOKUP(I82,Lookups!$M$10:$P$43,4,0)),"")</f>
        <v>1836.9288972289594</v>
      </c>
      <c r="K82" s="14">
        <v>4694</v>
      </c>
      <c r="L82" s="15" t="s">
        <v>193</v>
      </c>
      <c r="M82" s="17">
        <f>IF(K82&gt;0,(K82*VLOOKUP(Lookups!$K$11,Lookups!$M$10:$P$43,4,0)/VLOOKUP(L82,Lookups!$M$10:$P$43,4,0)),"")</f>
        <v>6364.2527852681769</v>
      </c>
      <c r="N82" s="14"/>
      <c r="O82" s="15"/>
      <c r="P82" s="17" t="str">
        <f>IF(N82&gt;0,(N82*VLOOKUP(Lookups!$K$11,Lookups!$M$10:$P$43,4,0)/VLOOKUP(O82,Lookups!$M$10:$P$43,4,0)),"")</f>
        <v/>
      </c>
      <c r="Q82" s="143" t="s">
        <v>316</v>
      </c>
      <c r="R82" s="15" t="s">
        <v>149</v>
      </c>
      <c r="S82" s="12" t="s">
        <v>2684</v>
      </c>
      <c r="T82" s="176"/>
      <c r="U82" s="4"/>
    </row>
    <row r="83" spans="1:21" s="36" customFormat="1" ht="60" hidden="1" customHeight="1" outlineLevel="2" x14ac:dyDescent="0.25">
      <c r="A83" s="12" t="s">
        <v>219</v>
      </c>
      <c r="B83" s="12" t="s">
        <v>230</v>
      </c>
      <c r="C83" s="12" t="s">
        <v>2930</v>
      </c>
      <c r="D83" s="44" t="s">
        <v>317</v>
      </c>
      <c r="E83" s="12" t="s">
        <v>626</v>
      </c>
      <c r="F83" s="12" t="s">
        <v>162</v>
      </c>
      <c r="G83" s="12" t="s">
        <v>2692</v>
      </c>
      <c r="H83" s="14">
        <v>1219.3499999999999</v>
      </c>
      <c r="I83" s="15" t="s">
        <v>193</v>
      </c>
      <c r="J83" s="17">
        <f>IF(H83&gt;0,(H83*VLOOKUP(Lookups!$K$11,Lookups!$M$10:$P$43,4,0)/VLOOKUP(I83,Lookups!$M$10:$P$43,4,0)),"")</f>
        <v>1653.2278725429803</v>
      </c>
      <c r="K83" s="14"/>
      <c r="L83" s="15"/>
      <c r="M83" s="17" t="str">
        <f>IF(K83&gt;0,(K83*VLOOKUP(Lookups!$K$11,Lookups!$M$10:$P$43,4,0)/VLOOKUP(L83,Lookups!$M$10:$P$43,4,0)),"")</f>
        <v/>
      </c>
      <c r="N83" s="14"/>
      <c r="O83" s="15"/>
      <c r="P83" s="17" t="str">
        <f>IF(N83&gt;0,(N83*VLOOKUP(Lookups!$K$11,Lookups!$M$10:$P$43,4,0)/VLOOKUP(O83,Lookups!$M$10:$P$43,4,0)),"")</f>
        <v/>
      </c>
      <c r="Q83" s="143" t="s">
        <v>316</v>
      </c>
      <c r="R83" s="15" t="s">
        <v>149</v>
      </c>
      <c r="S83" s="12" t="s">
        <v>1275</v>
      </c>
      <c r="T83" s="176"/>
      <c r="U83" s="4"/>
    </row>
    <row r="84" spans="1:21" s="36" customFormat="1" ht="60" hidden="1" customHeight="1" outlineLevel="2" x14ac:dyDescent="0.25">
      <c r="A84" s="12" t="s">
        <v>219</v>
      </c>
      <c r="B84" s="12" t="s">
        <v>230</v>
      </c>
      <c r="C84" s="12" t="s">
        <v>2931</v>
      </c>
      <c r="D84" s="44" t="s">
        <v>318</v>
      </c>
      <c r="E84" s="12" t="s">
        <v>626</v>
      </c>
      <c r="F84" s="12" t="s">
        <v>210</v>
      </c>
      <c r="G84" s="4" t="s">
        <v>631</v>
      </c>
      <c r="H84" s="14">
        <v>135.47999999999999</v>
      </c>
      <c r="I84" s="15" t="s">
        <v>193</v>
      </c>
      <c r="J84" s="17">
        <f>IF(H84&gt;0,(H84*VLOOKUP(Lookups!$K$11,Lookups!$M$10:$P$43,4,0)/VLOOKUP(I84,Lookups!$M$10:$P$43,4,0)),"")</f>
        <v>183.68746641417394</v>
      </c>
      <c r="K84" s="14"/>
      <c r="L84" s="15"/>
      <c r="M84" s="17" t="str">
        <f>IF(K84&gt;0,(K84*VLOOKUP(Lookups!$K$11,Lookups!$M$10:$P$43,4,0)/VLOOKUP(L84,Lookups!$M$10:$P$43,4,0)),"")</f>
        <v/>
      </c>
      <c r="N84" s="14"/>
      <c r="O84" s="15"/>
      <c r="P84" s="17" t="str">
        <f>IF(N84&gt;0,(N84*VLOOKUP(Lookups!$K$11,Lookups!$M$10:$P$43,4,0)/VLOOKUP(O84,Lookups!$M$10:$P$43,4,0)),"")</f>
        <v/>
      </c>
      <c r="Q84" s="143" t="s">
        <v>316</v>
      </c>
      <c r="R84" s="15" t="s">
        <v>149</v>
      </c>
      <c r="S84" s="12" t="s">
        <v>1276</v>
      </c>
      <c r="T84" s="176"/>
      <c r="U84" s="4"/>
    </row>
    <row r="85" spans="1:21" s="36" customFormat="1" ht="60" hidden="1" customHeight="1" outlineLevel="1" x14ac:dyDescent="0.25">
      <c r="A85" s="42" t="s">
        <v>219</v>
      </c>
      <c r="B85" s="42" t="s">
        <v>230</v>
      </c>
      <c r="C85" s="42" t="s">
        <v>2932</v>
      </c>
      <c r="D85" s="42" t="s">
        <v>2667</v>
      </c>
      <c r="E85" s="12" t="s">
        <v>626</v>
      </c>
      <c r="F85" s="12"/>
      <c r="G85" s="4"/>
      <c r="H85" s="14"/>
      <c r="I85" s="15"/>
      <c r="J85" s="17" t="str">
        <f>IF(H85&gt;0,(H85*VLOOKUP(Lookups!$K$11,Lookups!$M$10:$P$43,4,0)/VLOOKUP(I85,Lookups!$M$10:$P$43,4,0)),"")</f>
        <v/>
      </c>
      <c r="K85" s="14">
        <v>11242</v>
      </c>
      <c r="L85" s="15" t="s">
        <v>261</v>
      </c>
      <c r="M85" s="17">
        <f>IF(K85&gt;0,(K85*VLOOKUP(Lookups!$K$11,Lookups!$M$10:$P$43,4,0)/VLOOKUP(L85,Lookups!$M$10:$P$43,4,0)),"")</f>
        <v>12254.115224785226</v>
      </c>
      <c r="N85" s="14"/>
      <c r="O85" s="15"/>
      <c r="P85" s="17" t="str">
        <f>IF(N85&gt;0,(N85*VLOOKUP(Lookups!$K$11,Lookups!$M$10:$P$43,4,0)/VLOOKUP(O85,Lookups!$M$10:$P$43,4,0)),"")</f>
        <v/>
      </c>
      <c r="Q85" s="143" t="s">
        <v>2665</v>
      </c>
      <c r="R85" s="15" t="s">
        <v>152</v>
      </c>
      <c r="S85" s="107" t="s">
        <v>2672</v>
      </c>
      <c r="T85" s="176" t="s">
        <v>922</v>
      </c>
      <c r="U85" s="4" t="s">
        <v>2666</v>
      </c>
    </row>
    <row r="86" spans="1:21" s="36" customFormat="1" ht="60" hidden="1" customHeight="1" outlineLevel="1" collapsed="1" x14ac:dyDescent="0.25">
      <c r="A86" s="42" t="s">
        <v>219</v>
      </c>
      <c r="B86" s="42" t="s">
        <v>230</v>
      </c>
      <c r="C86" s="42" t="s">
        <v>2933</v>
      </c>
      <c r="D86" s="42" t="s">
        <v>47</v>
      </c>
      <c r="E86" s="12" t="s">
        <v>626</v>
      </c>
      <c r="F86" s="12" t="s">
        <v>162</v>
      </c>
      <c r="G86" s="4" t="s">
        <v>667</v>
      </c>
      <c r="H86" s="14">
        <v>544</v>
      </c>
      <c r="I86" s="15" t="s">
        <v>193</v>
      </c>
      <c r="J86" s="17">
        <f>IF(H86&gt;0,(H86*VLOOKUP(Lookups!$K$11,Lookups!$M$10:$P$43,4,0)/VLOOKUP(I86,Lookups!$M$10:$P$43,4,0)),"")</f>
        <v>737.5699861921363</v>
      </c>
      <c r="K86" s="14">
        <v>3377</v>
      </c>
      <c r="L86" s="15" t="s">
        <v>193</v>
      </c>
      <c r="M86" s="17">
        <f>IF(K86&gt;0,(K86*VLOOKUP(Lookups!$K$11,Lookups!$M$10:$P$43,4,0)/VLOOKUP(L86,Lookups!$M$10:$P$43,4,0)),"")</f>
        <v>4578.6283885493458</v>
      </c>
      <c r="N86" s="14"/>
      <c r="O86" s="15"/>
      <c r="P86" s="17" t="str">
        <f>IF(N86&gt;0,(N86*VLOOKUP(Lookups!$K$11,Lookups!$M$10:$P$43,4,0)/VLOOKUP(O86,Lookups!$M$10:$P$43,4,0)),"")</f>
        <v/>
      </c>
      <c r="Q86" s="143" t="s">
        <v>319</v>
      </c>
      <c r="R86" s="15" t="s">
        <v>149</v>
      </c>
      <c r="S86" s="12" t="s">
        <v>2685</v>
      </c>
      <c r="T86" s="176"/>
      <c r="U86" s="4"/>
    </row>
    <row r="87" spans="1:21" s="36" customFormat="1" ht="60" hidden="1" customHeight="1" outlineLevel="2" x14ac:dyDescent="0.25">
      <c r="A87" s="12" t="s">
        <v>219</v>
      </c>
      <c r="B87" s="12" t="s">
        <v>230</v>
      </c>
      <c r="C87" s="12" t="s">
        <v>2934</v>
      </c>
      <c r="D87" s="44" t="s">
        <v>320</v>
      </c>
      <c r="E87" s="12" t="s">
        <v>626</v>
      </c>
      <c r="F87" s="12" t="s">
        <v>162</v>
      </c>
      <c r="G87" s="12" t="s">
        <v>2692</v>
      </c>
      <c r="H87" s="14">
        <v>516</v>
      </c>
      <c r="I87" s="15" t="s">
        <v>193</v>
      </c>
      <c r="J87" s="17">
        <f>IF(H87&gt;0,(H87*VLOOKUP(Lookups!$K$11,Lookups!$M$10:$P$43,4,0)/VLOOKUP(I87,Lookups!$M$10:$P$43,4,0)),"")</f>
        <v>699.60682513812935</v>
      </c>
      <c r="K87" s="14"/>
      <c r="L87" s="15"/>
      <c r="M87" s="17" t="str">
        <f>IF(K87&gt;0,(K87*VLOOKUP(Lookups!$K$11,Lookups!$M$10:$P$43,4,0)/VLOOKUP(L87,Lookups!$M$10:$P$43,4,0)),"")</f>
        <v/>
      </c>
      <c r="N87" s="14"/>
      <c r="O87" s="15"/>
      <c r="P87" s="17" t="str">
        <f>IF(N87&gt;0,(N87*VLOOKUP(Lookups!$K$11,Lookups!$M$10:$P$43,4,0)/VLOOKUP(O87,Lookups!$M$10:$P$43,4,0)),"")</f>
        <v/>
      </c>
      <c r="Q87" s="143" t="s">
        <v>319</v>
      </c>
      <c r="R87" s="15" t="s">
        <v>149</v>
      </c>
      <c r="S87" s="12" t="s">
        <v>1277</v>
      </c>
      <c r="T87" s="176"/>
      <c r="U87" s="4"/>
    </row>
    <row r="88" spans="1:21" s="36" customFormat="1" ht="60" hidden="1" customHeight="1" outlineLevel="2" x14ac:dyDescent="0.25">
      <c r="A88" s="12" t="s">
        <v>219</v>
      </c>
      <c r="B88" s="12" t="s">
        <v>230</v>
      </c>
      <c r="C88" s="12" t="s">
        <v>2935</v>
      </c>
      <c r="D88" s="44" t="s">
        <v>321</v>
      </c>
      <c r="E88" s="12" t="s">
        <v>626</v>
      </c>
      <c r="F88" s="12" t="s">
        <v>210</v>
      </c>
      <c r="G88" s="4" t="s">
        <v>631</v>
      </c>
      <c r="H88" s="14">
        <v>28</v>
      </c>
      <c r="I88" s="15" t="s">
        <v>193</v>
      </c>
      <c r="J88" s="17">
        <f>IF(H88&gt;0,(H88*VLOOKUP(Lookups!$K$11,Lookups!$M$10:$P$43,4,0)/VLOOKUP(I88,Lookups!$M$10:$P$43,4,0)),"")</f>
        <v>37.963161054007017</v>
      </c>
      <c r="K88" s="14"/>
      <c r="L88" s="15"/>
      <c r="M88" s="17" t="str">
        <f>IF(K88&gt;0,(K88*VLOOKUP(Lookups!$K$11,Lookups!$M$10:$P$43,4,0)/VLOOKUP(L88,Lookups!$M$10:$P$43,4,0)),"")</f>
        <v/>
      </c>
      <c r="N88" s="14"/>
      <c r="O88" s="15"/>
      <c r="P88" s="17" t="str">
        <f>IF(N88&gt;0,(N88*VLOOKUP(Lookups!$K$11,Lookups!$M$10:$P$43,4,0)/VLOOKUP(O88,Lookups!$M$10:$P$43,4,0)),"")</f>
        <v/>
      </c>
      <c r="Q88" s="143" t="s">
        <v>319</v>
      </c>
      <c r="R88" s="15" t="s">
        <v>149</v>
      </c>
      <c r="S88" s="12" t="s">
        <v>1278</v>
      </c>
      <c r="T88" s="176"/>
      <c r="U88" s="4"/>
    </row>
    <row r="89" spans="1:21" s="36" customFormat="1" ht="60" hidden="1" customHeight="1" outlineLevel="1" x14ac:dyDescent="0.25">
      <c r="A89" s="42" t="s">
        <v>219</v>
      </c>
      <c r="B89" s="42" t="s">
        <v>230</v>
      </c>
      <c r="C89" s="42" t="s">
        <v>2936</v>
      </c>
      <c r="D89" s="42" t="s">
        <v>2668</v>
      </c>
      <c r="E89" s="12" t="s">
        <v>626</v>
      </c>
      <c r="F89" s="12"/>
      <c r="G89" s="4"/>
      <c r="H89" s="14"/>
      <c r="I89" s="15"/>
      <c r="J89" s="17" t="str">
        <f>IF(H89&gt;0,(H89*VLOOKUP(Lookups!$K$11,Lookups!$M$10:$P$43,4,0)/VLOOKUP(I89,Lookups!$M$10:$P$43,4,0)),"")</f>
        <v/>
      </c>
      <c r="K89" s="14">
        <v>6474</v>
      </c>
      <c r="L89" s="15" t="s">
        <v>261</v>
      </c>
      <c r="M89" s="17">
        <f>IF(K89&gt;0,(K89*VLOOKUP(Lookups!$K$11,Lookups!$M$10:$P$43,4,0)/VLOOKUP(L89,Lookups!$M$10:$P$43,4,0)),"")</f>
        <v>7056.853047968294</v>
      </c>
      <c r="N89" s="14"/>
      <c r="O89" s="15"/>
      <c r="P89" s="17" t="str">
        <f>IF(N89&gt;0,(N89*VLOOKUP(Lookups!$K$11,Lookups!$M$10:$P$43,4,0)/VLOOKUP(O89,Lookups!$M$10:$P$43,4,0)),"")</f>
        <v/>
      </c>
      <c r="Q89" s="143" t="s">
        <v>2665</v>
      </c>
      <c r="R89" s="15" t="s">
        <v>152</v>
      </c>
      <c r="S89" s="107" t="s">
        <v>2672</v>
      </c>
      <c r="T89" s="176" t="s">
        <v>922</v>
      </c>
      <c r="U89" s="4" t="s">
        <v>2666</v>
      </c>
    </row>
    <row r="90" spans="1:21" s="36" customFormat="1" ht="60" hidden="1" customHeight="1" outlineLevel="1" collapsed="1" x14ac:dyDescent="0.25">
      <c r="A90" s="42" t="s">
        <v>219</v>
      </c>
      <c r="B90" s="42" t="s">
        <v>230</v>
      </c>
      <c r="C90" s="42" t="s">
        <v>2937</v>
      </c>
      <c r="D90" s="42" t="s">
        <v>48</v>
      </c>
      <c r="E90" s="12" t="s">
        <v>626</v>
      </c>
      <c r="F90" s="12" t="s">
        <v>162</v>
      </c>
      <c r="G90" s="4" t="s">
        <v>667</v>
      </c>
      <c r="H90" s="14">
        <v>7964</v>
      </c>
      <c r="I90" s="15" t="s">
        <v>193</v>
      </c>
      <c r="J90" s="17">
        <f>IF(H90&gt;0,(H90*VLOOKUP(Lookups!$K$11,Lookups!$M$10:$P$43,4,0)/VLOOKUP(I90,Lookups!$M$10:$P$43,4,0)),"")</f>
        <v>10797.807665503997</v>
      </c>
      <c r="K90" s="14">
        <v>11131</v>
      </c>
      <c r="L90" s="15" t="s">
        <v>193</v>
      </c>
      <c r="M90" s="17">
        <f>IF(K90&gt;0,(K90*VLOOKUP(Lookups!$K$11,Lookups!$M$10:$P$43,4,0)/VLOOKUP(L90,Lookups!$M$10:$P$43,4,0)),"")</f>
        <v>15091.712346148292</v>
      </c>
      <c r="N90" s="14"/>
      <c r="O90" s="15"/>
      <c r="P90" s="17" t="str">
        <f>IF(N90&gt;0,(N90*VLOOKUP(Lookups!$K$11,Lookups!$M$10:$P$43,4,0)/VLOOKUP(O90,Lookups!$M$10:$P$43,4,0)),"")</f>
        <v/>
      </c>
      <c r="Q90" s="143" t="s">
        <v>322</v>
      </c>
      <c r="R90" s="15" t="s">
        <v>149</v>
      </c>
      <c r="S90" s="12" t="s">
        <v>2686</v>
      </c>
      <c r="T90" s="176"/>
      <c r="U90" s="4"/>
    </row>
    <row r="91" spans="1:21" s="36" customFormat="1" ht="60" hidden="1" customHeight="1" outlineLevel="2" x14ac:dyDescent="0.25">
      <c r="A91" s="12" t="s">
        <v>219</v>
      </c>
      <c r="B91" s="12" t="s">
        <v>230</v>
      </c>
      <c r="C91" s="12" t="s">
        <v>2938</v>
      </c>
      <c r="D91" s="44" t="s">
        <v>323</v>
      </c>
      <c r="E91" s="12" t="s">
        <v>626</v>
      </c>
      <c r="F91" s="12" t="s">
        <v>162</v>
      </c>
      <c r="G91" s="12" t="s">
        <v>2692</v>
      </c>
      <c r="H91" s="14">
        <v>6053</v>
      </c>
      <c r="I91" s="15" t="s">
        <v>193</v>
      </c>
      <c r="J91" s="17">
        <f>IF(H91&gt;0,(H91*VLOOKUP(Lookups!$K$11,Lookups!$M$10:$P$43,4,0)/VLOOKUP(I91,Lookups!$M$10:$P$43,4,0)),"")</f>
        <v>8206.8219235680172</v>
      </c>
      <c r="K91" s="14"/>
      <c r="L91" s="15"/>
      <c r="M91" s="17" t="str">
        <f>IF(K91&gt;0,(K91*VLOOKUP(Lookups!$K$11,Lookups!$M$10:$P$43,4,0)/VLOOKUP(L91,Lookups!$M$10:$P$43,4,0)),"")</f>
        <v/>
      </c>
      <c r="N91" s="14"/>
      <c r="O91" s="15"/>
      <c r="P91" s="17" t="str">
        <f>IF(N91&gt;0,(N91*VLOOKUP(Lookups!$K$11,Lookups!$M$10:$P$43,4,0)/VLOOKUP(O91,Lookups!$M$10:$P$43,4,0)),"")</f>
        <v/>
      </c>
      <c r="Q91" s="143" t="s">
        <v>322</v>
      </c>
      <c r="R91" s="15" t="s">
        <v>149</v>
      </c>
      <c r="S91" s="12" t="s">
        <v>1279</v>
      </c>
      <c r="T91" s="176"/>
      <c r="U91" s="4"/>
    </row>
    <row r="92" spans="1:21" s="36" customFormat="1" ht="60" hidden="1" customHeight="1" outlineLevel="2" x14ac:dyDescent="0.25">
      <c r="A92" s="12" t="s">
        <v>219</v>
      </c>
      <c r="B92" s="12" t="s">
        <v>230</v>
      </c>
      <c r="C92" s="12" t="s">
        <v>2939</v>
      </c>
      <c r="D92" s="44" t="s">
        <v>324</v>
      </c>
      <c r="E92" s="12" t="s">
        <v>626</v>
      </c>
      <c r="F92" s="12" t="s">
        <v>210</v>
      </c>
      <c r="G92" s="4" t="s">
        <v>631</v>
      </c>
      <c r="H92" s="14">
        <v>1380</v>
      </c>
      <c r="I92" s="15" t="s">
        <v>193</v>
      </c>
      <c r="J92" s="17">
        <f>IF(H92&gt;0,(H92*VLOOKUP(Lookups!$K$11,Lookups!$M$10:$P$43,4,0)/VLOOKUP(I92,Lookups!$M$10:$P$43,4,0)),"")</f>
        <v>1871.0415090903459</v>
      </c>
      <c r="K92" s="14"/>
      <c r="L92" s="15"/>
      <c r="M92" s="17" t="str">
        <f>IF(K92&gt;0,(K92*VLOOKUP(Lookups!$K$11,Lookups!$M$10:$P$43,4,0)/VLOOKUP(L92,Lookups!$M$10:$P$43,4,0)),"")</f>
        <v/>
      </c>
      <c r="N92" s="14"/>
      <c r="O92" s="15"/>
      <c r="P92" s="17" t="str">
        <f>IF(N92&gt;0,(N92*VLOOKUP(Lookups!$K$11,Lookups!$M$10:$P$43,4,0)/VLOOKUP(O92,Lookups!$M$10:$P$43,4,0)),"")</f>
        <v/>
      </c>
      <c r="Q92" s="143" t="s">
        <v>322</v>
      </c>
      <c r="R92" s="15" t="s">
        <v>149</v>
      </c>
      <c r="S92" s="12" t="s">
        <v>1280</v>
      </c>
      <c r="T92" s="176"/>
      <c r="U92" s="4"/>
    </row>
    <row r="93" spans="1:21" s="36" customFormat="1" ht="60" hidden="1" customHeight="1" outlineLevel="2" x14ac:dyDescent="0.25">
      <c r="A93" s="12" t="s">
        <v>219</v>
      </c>
      <c r="B93" s="12" t="s">
        <v>230</v>
      </c>
      <c r="C93" s="12" t="s">
        <v>2940</v>
      </c>
      <c r="D93" s="44" t="s">
        <v>267</v>
      </c>
      <c r="E93" s="12" t="s">
        <v>626</v>
      </c>
      <c r="F93" s="12" t="s">
        <v>147</v>
      </c>
      <c r="G93" s="4" t="s">
        <v>201</v>
      </c>
      <c r="H93" s="14">
        <v>531</v>
      </c>
      <c r="I93" s="15" t="s">
        <v>193</v>
      </c>
      <c r="J93" s="17">
        <f>IF(H93&gt;0,(H93*VLOOKUP(Lookups!$K$11,Lookups!$M$10:$P$43,4,0)/VLOOKUP(I93,Lookups!$M$10:$P$43,4,0)),"")</f>
        <v>719.94423284563311</v>
      </c>
      <c r="K93" s="14"/>
      <c r="L93" s="15"/>
      <c r="M93" s="17" t="str">
        <f>IF(K93&gt;0,(K93*VLOOKUP(Lookups!$K$11,Lookups!$M$10:$P$43,4,0)/VLOOKUP(L93,Lookups!$M$10:$P$43,4,0)),"")</f>
        <v/>
      </c>
      <c r="N93" s="14"/>
      <c r="O93" s="15"/>
      <c r="P93" s="17" t="str">
        <f>IF(N93&gt;0,(N93*VLOOKUP(Lookups!$K$11,Lookups!$M$10:$P$43,4,0)/VLOOKUP(O93,Lookups!$M$10:$P$43,4,0)),"")</f>
        <v/>
      </c>
      <c r="Q93" s="143" t="s">
        <v>322</v>
      </c>
      <c r="R93" s="15" t="s">
        <v>149</v>
      </c>
      <c r="S93" s="12" t="s">
        <v>1281</v>
      </c>
      <c r="T93" s="176"/>
      <c r="U93" s="4"/>
    </row>
    <row r="94" spans="1:21" s="36" customFormat="1" ht="60" hidden="1" customHeight="1" outlineLevel="1" x14ac:dyDescent="0.25">
      <c r="A94" s="42" t="s">
        <v>219</v>
      </c>
      <c r="B94" s="42" t="s">
        <v>230</v>
      </c>
      <c r="C94" s="42" t="s">
        <v>2941</v>
      </c>
      <c r="D94" s="42" t="s">
        <v>2669</v>
      </c>
      <c r="E94" s="12" t="s">
        <v>626</v>
      </c>
      <c r="F94" s="12"/>
      <c r="G94" s="4"/>
      <c r="H94" s="14"/>
      <c r="I94" s="15"/>
      <c r="J94" s="17" t="str">
        <f>IF(H94&gt;0,(H94*VLOOKUP(Lookups!$K$11,Lookups!$M$10:$P$43,4,0)/VLOOKUP(I94,Lookups!$M$10:$P$43,4,0)),"")</f>
        <v/>
      </c>
      <c r="K94" s="14">
        <v>47733</v>
      </c>
      <c r="L94" s="15" t="s">
        <v>261</v>
      </c>
      <c r="M94" s="17">
        <f>IF(K94&gt;0,(K94*VLOOKUP(Lookups!$K$11,Lookups!$M$10:$P$43,4,0)/VLOOKUP(L94,Lookups!$M$10:$P$43,4,0)),"")</f>
        <v>52030.393348574384</v>
      </c>
      <c r="N94" s="14"/>
      <c r="O94" s="15"/>
      <c r="P94" s="17" t="str">
        <f>IF(N94&gt;0,(N94*VLOOKUP(Lookups!$K$11,Lookups!$M$10:$P$43,4,0)/VLOOKUP(O94,Lookups!$M$10:$P$43,4,0)),"")</f>
        <v/>
      </c>
      <c r="Q94" s="143" t="s">
        <v>2665</v>
      </c>
      <c r="R94" s="15" t="s">
        <v>152</v>
      </c>
      <c r="S94" s="107" t="s">
        <v>2672</v>
      </c>
      <c r="T94" s="176" t="s">
        <v>922</v>
      </c>
      <c r="U94" s="4" t="s">
        <v>2666</v>
      </c>
    </row>
    <row r="95" spans="1:21" s="36" customFormat="1" ht="60" hidden="1" customHeight="1" outlineLevel="1" collapsed="1" x14ac:dyDescent="0.25">
      <c r="A95" s="42" t="s">
        <v>219</v>
      </c>
      <c r="B95" s="42" t="s">
        <v>230</v>
      </c>
      <c r="C95" s="42" t="s">
        <v>2942</v>
      </c>
      <c r="D95" s="42" t="s">
        <v>49</v>
      </c>
      <c r="E95" s="12" t="s">
        <v>626</v>
      </c>
      <c r="F95" s="12" t="s">
        <v>162</v>
      </c>
      <c r="G95" s="4" t="s">
        <v>667</v>
      </c>
      <c r="H95" s="14">
        <v>1036</v>
      </c>
      <c r="I95" s="15" t="s">
        <v>193</v>
      </c>
      <c r="J95" s="17">
        <f>IF(H95&gt;0,(H95*VLOOKUP(Lookups!$K$11,Lookups!$M$10:$P$43,4,0)/VLOOKUP(I95,Lookups!$M$10:$P$43,4,0)),"")</f>
        <v>1404.6369589982596</v>
      </c>
      <c r="K95" s="14">
        <v>3535</v>
      </c>
      <c r="L95" s="15" t="s">
        <v>193</v>
      </c>
      <c r="M95" s="17">
        <f>IF(K95&gt;0,(K95*VLOOKUP(Lookups!$K$11,Lookups!$M$10:$P$43,4,0)/VLOOKUP(L95,Lookups!$M$10:$P$43,4,0)),"")</f>
        <v>4792.8490830683859</v>
      </c>
      <c r="N95" s="14"/>
      <c r="O95" s="15"/>
      <c r="P95" s="17" t="str">
        <f>IF(N95&gt;0,(N95*VLOOKUP(Lookups!$K$11,Lookups!$M$10:$P$43,4,0)/VLOOKUP(O95,Lookups!$M$10:$P$43,4,0)),"")</f>
        <v/>
      </c>
      <c r="Q95" s="143" t="s">
        <v>268</v>
      </c>
      <c r="R95" s="15" t="s">
        <v>149</v>
      </c>
      <c r="S95" s="12" t="s">
        <v>2687</v>
      </c>
      <c r="T95" s="176"/>
      <c r="U95" s="4"/>
    </row>
    <row r="96" spans="1:21" s="36" customFormat="1" ht="60" hidden="1" customHeight="1" outlineLevel="2" x14ac:dyDescent="0.25">
      <c r="A96" s="12" t="s">
        <v>219</v>
      </c>
      <c r="B96" s="12" t="s">
        <v>230</v>
      </c>
      <c r="C96" s="12" t="s">
        <v>2943</v>
      </c>
      <c r="D96" s="44" t="s">
        <v>269</v>
      </c>
      <c r="E96" s="12" t="s">
        <v>626</v>
      </c>
      <c r="F96" s="12" t="s">
        <v>162</v>
      </c>
      <c r="G96" s="12" t="s">
        <v>2692</v>
      </c>
      <c r="H96" s="14">
        <v>849</v>
      </c>
      <c r="I96" s="15" t="s">
        <v>193</v>
      </c>
      <c r="J96" s="17">
        <f>IF(H96&gt;0,(H96*VLOOKUP(Lookups!$K$11,Lookups!$M$10:$P$43,4,0)/VLOOKUP(I96,Lookups!$M$10:$P$43,4,0)),"")</f>
        <v>1151.0972762447129</v>
      </c>
      <c r="K96" s="14"/>
      <c r="L96" s="15"/>
      <c r="M96" s="17" t="str">
        <f>IF(K96&gt;0,(K96*VLOOKUP(Lookups!$K$11,Lookups!$M$10:$P$43,4,0)/VLOOKUP(L96,Lookups!$M$10:$P$43,4,0)),"")</f>
        <v/>
      </c>
      <c r="N96" s="14"/>
      <c r="O96" s="15"/>
      <c r="P96" s="17" t="str">
        <f>IF(N96&gt;0,(N96*VLOOKUP(Lookups!$K$11,Lookups!$M$10:$P$43,4,0)/VLOOKUP(O96,Lookups!$M$10:$P$43,4,0)),"")</f>
        <v/>
      </c>
      <c r="Q96" s="143" t="s">
        <v>268</v>
      </c>
      <c r="R96" s="15" t="s">
        <v>149</v>
      </c>
      <c r="S96" s="12" t="s">
        <v>1282</v>
      </c>
      <c r="T96" s="176"/>
      <c r="U96" s="4"/>
    </row>
    <row r="97" spans="1:21" s="36" customFormat="1" ht="60" hidden="1" customHeight="1" outlineLevel="2" x14ac:dyDescent="0.25">
      <c r="A97" s="12" t="s">
        <v>219</v>
      </c>
      <c r="B97" s="12" t="s">
        <v>230</v>
      </c>
      <c r="C97" s="12" t="s">
        <v>2944</v>
      </c>
      <c r="D97" s="44" t="s">
        <v>270</v>
      </c>
      <c r="E97" s="12" t="s">
        <v>626</v>
      </c>
      <c r="F97" s="12" t="s">
        <v>210</v>
      </c>
      <c r="G97" s="4" t="s">
        <v>631</v>
      </c>
      <c r="H97" s="14">
        <v>187</v>
      </c>
      <c r="I97" s="15" t="s">
        <v>193</v>
      </c>
      <c r="J97" s="17">
        <f>IF(H97&gt;0,(H97*VLOOKUP(Lookups!$K$11,Lookups!$M$10:$P$43,4,0)/VLOOKUP(I97,Lookups!$M$10:$P$43,4,0)),"")</f>
        <v>253.53968275354686</v>
      </c>
      <c r="K97" s="14"/>
      <c r="L97" s="15"/>
      <c r="M97" s="17" t="str">
        <f>IF(K97&gt;0,(K97*VLOOKUP(Lookups!$K$11,Lookups!$M$10:$P$43,4,0)/VLOOKUP(L97,Lookups!$M$10:$P$43,4,0)),"")</f>
        <v/>
      </c>
      <c r="N97" s="14"/>
      <c r="O97" s="15"/>
      <c r="P97" s="17" t="str">
        <f>IF(N97&gt;0,(N97*VLOOKUP(Lookups!$K$11,Lookups!$M$10:$P$43,4,0)/VLOOKUP(O97,Lookups!$M$10:$P$43,4,0)),"")</f>
        <v/>
      </c>
      <c r="Q97" s="143" t="s">
        <v>268</v>
      </c>
      <c r="R97" s="15" t="s">
        <v>149</v>
      </c>
      <c r="S97" s="12" t="s">
        <v>1283</v>
      </c>
      <c r="T97" s="176"/>
      <c r="U97" s="4"/>
    </row>
    <row r="98" spans="1:21" s="36" customFormat="1" ht="60" hidden="1" customHeight="1" outlineLevel="1" x14ac:dyDescent="0.25">
      <c r="A98" s="42" t="s">
        <v>219</v>
      </c>
      <c r="B98" s="42" t="s">
        <v>230</v>
      </c>
      <c r="C98" s="42" t="s">
        <v>2945</v>
      </c>
      <c r="D98" s="42" t="s">
        <v>2670</v>
      </c>
      <c r="E98" s="12" t="s">
        <v>626</v>
      </c>
      <c r="F98" s="12"/>
      <c r="G98" s="4"/>
      <c r="H98" s="14"/>
      <c r="I98" s="15"/>
      <c r="J98" s="17" t="str">
        <f>IF(H98&gt;0,(H98*VLOOKUP(Lookups!$K$11,Lookups!$M$10:$P$43,4,0)/VLOOKUP(I98,Lookups!$M$10:$P$43,4,0)),"")</f>
        <v/>
      </c>
      <c r="K98" s="14">
        <v>24176</v>
      </c>
      <c r="L98" s="15" t="s">
        <v>261</v>
      </c>
      <c r="M98" s="17">
        <f>IF(K98&gt;0,(K98*VLOOKUP(Lookups!$K$11,Lookups!$M$10:$P$43,4,0)/VLOOKUP(L98,Lookups!$M$10:$P$43,4,0)),"")</f>
        <v>26352.56090325633</v>
      </c>
      <c r="N98" s="14"/>
      <c r="O98" s="15"/>
      <c r="P98" s="17" t="str">
        <f>IF(N98&gt;0,(N98*VLOOKUP(Lookups!$K$11,Lookups!$M$10:$P$43,4,0)/VLOOKUP(O98,Lookups!$M$10:$P$43,4,0)),"")</f>
        <v/>
      </c>
      <c r="Q98" s="143" t="s">
        <v>2665</v>
      </c>
      <c r="R98" s="15" t="s">
        <v>152</v>
      </c>
      <c r="S98" s="107" t="s">
        <v>2672</v>
      </c>
      <c r="T98" s="176" t="s">
        <v>922</v>
      </c>
      <c r="U98" s="4" t="s">
        <v>2666</v>
      </c>
    </row>
    <row r="99" spans="1:21" s="36" customFormat="1" ht="60" hidden="1" customHeight="1" outlineLevel="1" x14ac:dyDescent="0.25">
      <c r="A99" s="42" t="s">
        <v>219</v>
      </c>
      <c r="B99" s="42" t="s">
        <v>230</v>
      </c>
      <c r="C99" s="42" t="s">
        <v>2946</v>
      </c>
      <c r="D99" s="42" t="s">
        <v>50</v>
      </c>
      <c r="E99" s="12" t="s">
        <v>626</v>
      </c>
      <c r="F99" s="12" t="s">
        <v>162</v>
      </c>
      <c r="G99" s="12" t="s">
        <v>2692</v>
      </c>
      <c r="H99" s="14">
        <v>137</v>
      </c>
      <c r="I99" s="15" t="s">
        <v>193</v>
      </c>
      <c r="J99" s="17">
        <f>IF(H99&gt;0,(H99*VLOOKUP(Lookups!$K$11,Lookups!$M$10:$P$43,4,0)/VLOOKUP(I99,Lookups!$M$10:$P$43,4,0)),"")</f>
        <v>185.74832372853433</v>
      </c>
      <c r="K99" s="14">
        <v>299</v>
      </c>
      <c r="L99" s="15" t="s">
        <v>193</v>
      </c>
      <c r="M99" s="17">
        <f>IF(K99&gt;0,(K99*VLOOKUP(Lookups!$K$11,Lookups!$M$10:$P$43,4,0)/VLOOKUP(L99,Lookups!$M$10:$P$43,4,0)),"")</f>
        <v>405.39232696957498</v>
      </c>
      <c r="N99" s="14"/>
      <c r="O99" s="15"/>
      <c r="P99" s="17" t="str">
        <f>IF(N99&gt;0,(N99*VLOOKUP(Lookups!$K$11,Lookups!$M$10:$P$43,4,0)/VLOOKUP(O99,Lookups!$M$10:$P$43,4,0)),"")</f>
        <v/>
      </c>
      <c r="Q99" s="143" t="s">
        <v>271</v>
      </c>
      <c r="R99" s="15" t="s">
        <v>149</v>
      </c>
      <c r="S99" s="12" t="s">
        <v>2688</v>
      </c>
      <c r="T99" s="176"/>
      <c r="U99" s="4"/>
    </row>
    <row r="100" spans="1:21" s="36" customFormat="1" ht="60" hidden="1" customHeight="1" outlineLevel="1" x14ac:dyDescent="0.25">
      <c r="A100" s="42" t="s">
        <v>219</v>
      </c>
      <c r="B100" s="42" t="s">
        <v>230</v>
      </c>
      <c r="C100" s="42" t="s">
        <v>2947</v>
      </c>
      <c r="D100" s="42" t="s">
        <v>2671</v>
      </c>
      <c r="E100" s="12" t="s">
        <v>626</v>
      </c>
      <c r="F100" s="12"/>
      <c r="G100" s="4"/>
      <c r="H100" s="14"/>
      <c r="I100" s="15"/>
      <c r="J100" s="17" t="str">
        <f>IF(H100&gt;0,(H100*VLOOKUP(Lookups!$K$11,Lookups!$M$10:$P$43,4,0)/VLOOKUP(I100,Lookups!$M$10:$P$43,4,0)),"")</f>
        <v/>
      </c>
      <c r="K100" s="14">
        <v>33672</v>
      </c>
      <c r="L100" s="15" t="s">
        <v>261</v>
      </c>
      <c r="M100" s="17">
        <f>IF(K100&gt;0,(K100*VLOOKUP(Lookups!$K$11,Lookups!$M$10:$P$43,4,0)/VLOOKUP(L100,Lookups!$M$10:$P$43,4,0)),"")</f>
        <v>36703.484064131662</v>
      </c>
      <c r="N100" s="14"/>
      <c r="O100" s="15"/>
      <c r="P100" s="17" t="str">
        <f>IF(N100&gt;0,(N100*VLOOKUP(Lookups!$K$11,Lookups!$M$10:$P$43,4,0)/VLOOKUP(O100,Lookups!$M$10:$P$43,4,0)),"")</f>
        <v/>
      </c>
      <c r="Q100" s="143" t="s">
        <v>2665</v>
      </c>
      <c r="R100" s="15" t="s">
        <v>152</v>
      </c>
      <c r="S100" s="107" t="s">
        <v>2672</v>
      </c>
      <c r="T100" s="176" t="s">
        <v>922</v>
      </c>
      <c r="U100" s="4" t="s">
        <v>2666</v>
      </c>
    </row>
    <row r="101" spans="1:21" s="36" customFormat="1" ht="60" hidden="1" customHeight="1" outlineLevel="1" x14ac:dyDescent="0.25">
      <c r="A101" s="42" t="s">
        <v>219</v>
      </c>
      <c r="B101" s="42" t="s">
        <v>230</v>
      </c>
      <c r="C101" s="42" t="s">
        <v>2948</v>
      </c>
      <c r="D101" s="42" t="s">
        <v>51</v>
      </c>
      <c r="E101" s="12" t="s">
        <v>626</v>
      </c>
      <c r="F101" s="12" t="s">
        <v>162</v>
      </c>
      <c r="G101" s="12" t="s">
        <v>2692</v>
      </c>
      <c r="H101" s="14">
        <v>283</v>
      </c>
      <c r="I101" s="15" t="s">
        <v>193</v>
      </c>
      <c r="J101" s="17">
        <f>IF(H101&gt;0,(H101*VLOOKUP(Lookups!$K$11,Lookups!$M$10:$P$43,4,0)/VLOOKUP(I101,Lookups!$M$10:$P$43,4,0)),"")</f>
        <v>383.69909208157094</v>
      </c>
      <c r="K101" s="14">
        <v>2915</v>
      </c>
      <c r="L101" s="15" t="s">
        <v>193</v>
      </c>
      <c r="M101" s="17">
        <f>IF(K101&gt;0,(K101*VLOOKUP(Lookups!$K$11,Lookups!$M$10:$P$43,4,0)/VLOOKUP(L101,Lookups!$M$10:$P$43,4,0)),"")</f>
        <v>3952.236231158231</v>
      </c>
      <c r="N101" s="14"/>
      <c r="O101" s="15"/>
      <c r="P101" s="17" t="str">
        <f>IF(N101&gt;0,(N101*VLOOKUP(Lookups!$K$11,Lookups!$M$10:$P$43,4,0)/VLOOKUP(O101,Lookups!$M$10:$P$43,4,0)),"")</f>
        <v/>
      </c>
      <c r="Q101" s="143" t="s">
        <v>272</v>
      </c>
      <c r="R101" s="15" t="s">
        <v>149</v>
      </c>
      <c r="S101" s="12" t="s">
        <v>1284</v>
      </c>
      <c r="T101" s="176"/>
      <c r="U101" s="4"/>
    </row>
    <row r="102" spans="1:21" s="36" customFormat="1" ht="60" hidden="1" customHeight="1" outlineLevel="1" collapsed="1" x14ac:dyDescent="0.25">
      <c r="A102" s="42" t="s">
        <v>219</v>
      </c>
      <c r="B102" s="42" t="s">
        <v>230</v>
      </c>
      <c r="C102" s="42" t="s">
        <v>2949</v>
      </c>
      <c r="D102" s="42" t="s">
        <v>52</v>
      </c>
      <c r="E102" s="12" t="s">
        <v>626</v>
      </c>
      <c r="F102" s="12" t="s">
        <v>210</v>
      </c>
      <c r="G102" s="4" t="s">
        <v>162</v>
      </c>
      <c r="H102" s="14">
        <v>16386</v>
      </c>
      <c r="I102" s="15" t="s">
        <v>193</v>
      </c>
      <c r="J102" s="17">
        <f>IF(H102&gt;0,(H102*VLOOKUP(Lookups!$K$11,Lookups!$M$10:$P$43,4,0)/VLOOKUP(I102,Lookups!$M$10:$P$43,4,0)),"")</f>
        <v>22216.584179677109</v>
      </c>
      <c r="K102" s="14">
        <v>9217</v>
      </c>
      <c r="L102" s="15" t="s">
        <v>193</v>
      </c>
      <c r="M102" s="17">
        <f>IF(K102&gt;0,(K102*VLOOKUP(Lookups!$K$11,Lookups!$M$10:$P$43,4,0)/VLOOKUP(L102,Lookups!$M$10:$P$43,4,0)),"")</f>
        <v>12496.65912267081</v>
      </c>
      <c r="N102" s="14"/>
      <c r="O102" s="15"/>
      <c r="P102" s="17" t="str">
        <f>IF(N102&gt;0,(N102*VLOOKUP(Lookups!$K$11,Lookups!$M$10:$P$43,4,0)/VLOOKUP(O102,Lookups!$M$10:$P$43,4,0)),"")</f>
        <v/>
      </c>
      <c r="Q102" s="143" t="s">
        <v>273</v>
      </c>
      <c r="R102" s="15" t="s">
        <v>149</v>
      </c>
      <c r="S102" s="12" t="s">
        <v>1285</v>
      </c>
      <c r="T102" s="176"/>
      <c r="U102" s="4"/>
    </row>
    <row r="103" spans="1:21" s="36" customFormat="1" ht="60" hidden="1" customHeight="1" outlineLevel="2" x14ac:dyDescent="0.25">
      <c r="A103" s="12" t="s">
        <v>219</v>
      </c>
      <c r="B103" s="12" t="s">
        <v>230</v>
      </c>
      <c r="C103" s="12" t="s">
        <v>2950</v>
      </c>
      <c r="D103" s="44" t="s">
        <v>518</v>
      </c>
      <c r="E103" s="12" t="s">
        <v>626</v>
      </c>
      <c r="F103" s="12" t="s">
        <v>210</v>
      </c>
      <c r="G103" s="4" t="s">
        <v>631</v>
      </c>
      <c r="H103" s="14">
        <v>14338</v>
      </c>
      <c r="I103" s="15" t="s">
        <v>193</v>
      </c>
      <c r="J103" s="17">
        <f>IF(H103&gt;0,(H103*VLOOKUP(Lookups!$K$11,Lookups!$M$10:$P$43,4,0)/VLOOKUP(I103,Lookups!$M$10:$P$43,4,0)),"")</f>
        <v>19439.850114012595</v>
      </c>
      <c r="K103" s="14"/>
      <c r="L103" s="15"/>
      <c r="M103" s="17" t="str">
        <f>IF(K103&gt;0,(K103*VLOOKUP(Lookups!$K$11,Lookups!$M$10:$P$43,4,0)/VLOOKUP(L103,Lookups!$M$10:$P$43,4,0)),"")</f>
        <v/>
      </c>
      <c r="N103" s="14"/>
      <c r="O103" s="15"/>
      <c r="P103" s="17" t="str">
        <f>IF(N103&gt;0,(N103*VLOOKUP(Lookups!$K$11,Lookups!$M$10:$P$43,4,0)/VLOOKUP(O103,Lookups!$M$10:$P$43,4,0)),"")</f>
        <v/>
      </c>
      <c r="Q103" s="143" t="s">
        <v>273</v>
      </c>
      <c r="R103" s="15" t="s">
        <v>149</v>
      </c>
      <c r="S103" s="12" t="s">
        <v>1286</v>
      </c>
      <c r="T103" s="176"/>
      <c r="U103" s="4"/>
    </row>
    <row r="104" spans="1:21" s="36" customFormat="1" ht="60" hidden="1" customHeight="1" outlineLevel="2" x14ac:dyDescent="0.25">
      <c r="A104" s="12" t="s">
        <v>219</v>
      </c>
      <c r="B104" s="12" t="s">
        <v>230</v>
      </c>
      <c r="C104" s="12" t="s">
        <v>2951</v>
      </c>
      <c r="D104" s="44" t="s">
        <v>519</v>
      </c>
      <c r="E104" s="12" t="s">
        <v>626</v>
      </c>
      <c r="F104" s="12" t="s">
        <v>162</v>
      </c>
      <c r="G104" s="12" t="s">
        <v>2692</v>
      </c>
      <c r="H104" s="14">
        <v>2048</v>
      </c>
      <c r="I104" s="15" t="s">
        <v>193</v>
      </c>
      <c r="J104" s="17">
        <f>IF(H104&gt;0,(H104*VLOOKUP(Lookups!$K$11,Lookups!$M$10:$P$43,4,0)/VLOOKUP(I104,Lookups!$M$10:$P$43,4,0)),"")</f>
        <v>2776.7340656645133</v>
      </c>
      <c r="K104" s="14"/>
      <c r="L104" s="15"/>
      <c r="M104" s="17" t="str">
        <f>IF(K104&gt;0,(K104*VLOOKUP(Lookups!$K$11,Lookups!$M$10:$P$43,4,0)/VLOOKUP(L104,Lookups!$M$10:$P$43,4,0)),"")</f>
        <v/>
      </c>
      <c r="N104" s="14"/>
      <c r="O104" s="15"/>
      <c r="P104" s="17" t="str">
        <f>IF(N104&gt;0,(N104*VLOOKUP(Lookups!$K$11,Lookups!$M$10:$P$43,4,0)/VLOOKUP(O104,Lookups!$M$10:$P$43,4,0)),"")</f>
        <v/>
      </c>
      <c r="Q104" s="143" t="s">
        <v>273</v>
      </c>
      <c r="R104" s="15" t="s">
        <v>149</v>
      </c>
      <c r="S104" s="12" t="s">
        <v>1287</v>
      </c>
      <c r="T104" s="176"/>
      <c r="U104" s="4"/>
    </row>
    <row r="105" spans="1:21" s="36" customFormat="1" ht="60" customHeight="1" collapsed="1" x14ac:dyDescent="0.25">
      <c r="A105" s="38" t="s">
        <v>219</v>
      </c>
      <c r="B105" s="38" t="s">
        <v>230</v>
      </c>
      <c r="C105" s="38" t="s">
        <v>960</v>
      </c>
      <c r="D105" s="38" t="s">
        <v>108</v>
      </c>
      <c r="E105" s="12" t="s">
        <v>626</v>
      </c>
      <c r="F105" s="12" t="s">
        <v>162</v>
      </c>
      <c r="G105" s="12" t="s">
        <v>2692</v>
      </c>
      <c r="H105" s="14">
        <v>230</v>
      </c>
      <c r="I105" s="15" t="s">
        <v>193</v>
      </c>
      <c r="J105" s="17">
        <f>IF(H105&gt;0,(H105*VLOOKUP(Lookups!$K$11,Lookups!$M$10:$P$43,4,0)/VLOOKUP(I105,Lookups!$M$10:$P$43,4,0)),"")</f>
        <v>311.84025151505767</v>
      </c>
      <c r="K105" s="14"/>
      <c r="L105" s="15"/>
      <c r="M105" s="17" t="str">
        <f>IF(K105&gt;0,(K105*VLOOKUP(Lookups!$K$11,Lookups!$M$10:$P$43,4,0)/VLOOKUP(L105,Lookups!$M$10:$P$43,4,0)),"")</f>
        <v/>
      </c>
      <c r="N105" s="14"/>
      <c r="O105" s="15"/>
      <c r="P105" s="17" t="str">
        <f>IF(N105&gt;0,(N105*VLOOKUP(Lookups!$K$11,Lookups!$M$10:$P$43,4,0)/VLOOKUP(O105,Lookups!$M$10:$P$43,4,0)),"")</f>
        <v/>
      </c>
      <c r="Q105" s="143" t="s">
        <v>109</v>
      </c>
      <c r="R105" s="15" t="s">
        <v>149</v>
      </c>
      <c r="S105" s="12" t="s">
        <v>1288</v>
      </c>
      <c r="T105" s="176"/>
      <c r="U105" s="4"/>
    </row>
    <row r="106" spans="1:21" s="54" customFormat="1" ht="60" hidden="1" customHeight="1" outlineLevel="1" x14ac:dyDescent="0.25">
      <c r="A106" s="50" t="s">
        <v>219</v>
      </c>
      <c r="B106" s="50" t="s">
        <v>230</v>
      </c>
      <c r="C106" s="50" t="s">
        <v>430</v>
      </c>
      <c r="D106" s="50" t="s">
        <v>2732</v>
      </c>
      <c r="E106" s="90" t="s">
        <v>655</v>
      </c>
      <c r="F106" s="90" t="s">
        <v>162</v>
      </c>
      <c r="G106" s="90" t="s">
        <v>2692</v>
      </c>
      <c r="H106" s="193">
        <v>1311</v>
      </c>
      <c r="I106" s="181" t="s">
        <v>1520</v>
      </c>
      <c r="J106" s="221">
        <f>IF(H106&gt;0,(H106*VLOOKUP(Lookups!$K$11,Lookups!$M$10:$P$43,4,0)/VLOOKUP(I106,Lookups!$M$10:$P$43,4,0)),"")</f>
        <v>1350.2290820314929</v>
      </c>
      <c r="K106" s="165"/>
      <c r="L106" s="181"/>
      <c r="M106" s="221" t="str">
        <f>IF(K106&gt;0,(K106*VLOOKUP(Lookups!$K$11,Lookups!$M$10:$P$43,4,0)/VLOOKUP(L106,Lookups!$M$10:$P$43,4,0)),"")</f>
        <v/>
      </c>
      <c r="N106" s="165"/>
      <c r="O106" s="181"/>
      <c r="P106" s="221" t="str">
        <f>IF(N106&gt;0,(N106*VLOOKUP(Lookups!$K$11,Lookups!$M$10:$P$43,4,0)/VLOOKUP(O106,Lookups!$M$10:$P$43,4,0)),"")</f>
        <v/>
      </c>
      <c r="Q106" s="173" t="s">
        <v>3229</v>
      </c>
      <c r="R106" s="181" t="s">
        <v>154</v>
      </c>
      <c r="S106" s="174" t="s">
        <v>2868</v>
      </c>
      <c r="T106" s="176" t="s">
        <v>923</v>
      </c>
      <c r="U106" s="4" t="s">
        <v>2832</v>
      </c>
    </row>
    <row r="107" spans="1:21" s="36" customFormat="1" ht="60" hidden="1" customHeight="1" outlineLevel="1" x14ac:dyDescent="0.25">
      <c r="A107" s="42" t="s">
        <v>219</v>
      </c>
      <c r="B107" s="42" t="s">
        <v>230</v>
      </c>
      <c r="C107" s="42" t="s">
        <v>2952</v>
      </c>
      <c r="D107" s="157" t="s">
        <v>2740</v>
      </c>
      <c r="E107" s="12" t="s">
        <v>26</v>
      </c>
      <c r="F107" s="12" t="s">
        <v>162</v>
      </c>
      <c r="G107" s="12" t="s">
        <v>2692</v>
      </c>
      <c r="H107" s="14">
        <v>1536</v>
      </c>
      <c r="I107" s="15" t="s">
        <v>261</v>
      </c>
      <c r="J107" s="17">
        <f>IF(H107&gt;0,(H107*VLOOKUP(Lookups!$K$11,Lookups!$M$10:$P$43,4,0)/VLOOKUP(I107,Lookups!$M$10:$P$43,4,0)),"")</f>
        <v>1674.2858019276027</v>
      </c>
      <c r="K107" s="14"/>
      <c r="L107" s="15"/>
      <c r="M107" s="17" t="str">
        <f>IF(K107&gt;0,(K107*VLOOKUP(Lookups!$K$11,Lookups!$M$10:$P$43,4,0)/VLOOKUP(L107,Lookups!$M$10:$P$43,4,0)),"")</f>
        <v/>
      </c>
      <c r="N107" s="14"/>
      <c r="O107" s="15"/>
      <c r="P107" s="17" t="str">
        <f>IF(N107&gt;0,(N107*VLOOKUP(Lookups!$K$11,Lookups!$M$10:$P$43,4,0)/VLOOKUP(O107,Lookups!$M$10:$P$43,4,0)),"")</f>
        <v/>
      </c>
      <c r="Q107" s="173" t="s">
        <v>2735</v>
      </c>
      <c r="R107" s="15" t="s">
        <v>154</v>
      </c>
      <c r="S107" s="12" t="s">
        <v>2741</v>
      </c>
      <c r="T107" s="176" t="s">
        <v>923</v>
      </c>
      <c r="U107" s="90" t="s">
        <v>2737</v>
      </c>
    </row>
    <row r="108" spans="1:21" s="54" customFormat="1" ht="60" hidden="1" customHeight="1" outlineLevel="1" x14ac:dyDescent="0.25">
      <c r="A108" s="50" t="s">
        <v>219</v>
      </c>
      <c r="B108" s="50" t="s">
        <v>230</v>
      </c>
      <c r="C108" s="50" t="s">
        <v>2953</v>
      </c>
      <c r="D108" s="50" t="s">
        <v>2733</v>
      </c>
      <c r="E108" s="90" t="s">
        <v>148</v>
      </c>
      <c r="F108" s="90" t="s">
        <v>162</v>
      </c>
      <c r="G108" s="90" t="s">
        <v>2692</v>
      </c>
      <c r="H108" s="193">
        <v>292.38</v>
      </c>
      <c r="I108" s="181" t="s">
        <v>1520</v>
      </c>
      <c r="J108" s="221">
        <f>IF(H108&gt;0,(H108*VLOOKUP(Lookups!$K$11,Lookups!$M$10:$P$43,4,0)/VLOOKUP(I108,Lookups!$M$10:$P$43,4,0)),"")</f>
        <v>301.12889321462086</v>
      </c>
      <c r="K108" s="165"/>
      <c r="L108" s="181"/>
      <c r="M108" s="221" t="str">
        <f>IF(K108&gt;0,(K108*VLOOKUP(Lookups!$K$11,Lookups!$M$10:$P$43,4,0)/VLOOKUP(L108,Lookups!$M$10:$P$43,4,0)),"")</f>
        <v/>
      </c>
      <c r="N108" s="165"/>
      <c r="O108" s="181"/>
      <c r="P108" s="221" t="str">
        <f>IF(N108&gt;0,(N108*VLOOKUP(Lookups!$K$11,Lookups!$M$10:$P$43,4,0)/VLOOKUP(O108,Lookups!$M$10:$P$43,4,0)),"")</f>
        <v/>
      </c>
      <c r="Q108" s="173" t="s">
        <v>3230</v>
      </c>
      <c r="R108" s="181" t="s">
        <v>154</v>
      </c>
      <c r="S108" s="174" t="s">
        <v>2869</v>
      </c>
      <c r="T108" s="176" t="s">
        <v>923</v>
      </c>
      <c r="U108" s="90" t="s">
        <v>2870</v>
      </c>
    </row>
    <row r="109" spans="1:21" s="36" customFormat="1" ht="60" hidden="1" customHeight="1" outlineLevel="1" x14ac:dyDescent="0.25">
      <c r="A109" s="42" t="s">
        <v>219</v>
      </c>
      <c r="B109" s="42" t="s">
        <v>230</v>
      </c>
      <c r="C109" s="42" t="s">
        <v>2954</v>
      </c>
      <c r="D109" s="157" t="s">
        <v>2734</v>
      </c>
      <c r="E109" s="12" t="s">
        <v>26</v>
      </c>
      <c r="F109" s="12" t="s">
        <v>162</v>
      </c>
      <c r="G109" s="12" t="s">
        <v>2692</v>
      </c>
      <c r="H109" s="14">
        <v>608</v>
      </c>
      <c r="I109" s="15" t="s">
        <v>261</v>
      </c>
      <c r="J109" s="17">
        <f>IF(H109&gt;0,(H109*VLOOKUP(Lookups!$K$11,Lookups!$M$10:$P$43,4,0)/VLOOKUP(I109,Lookups!$M$10:$P$43,4,0)),"")</f>
        <v>662.73812992967612</v>
      </c>
      <c r="K109" s="14"/>
      <c r="L109" s="15"/>
      <c r="M109" s="17" t="str">
        <f>IF(K109&gt;0,(K109*VLOOKUP(Lookups!$K$11,Lookups!$M$10:$P$43,4,0)/VLOOKUP(L109,Lookups!$M$10:$P$43,4,0)),"")</f>
        <v/>
      </c>
      <c r="N109" s="14"/>
      <c r="O109" s="15"/>
      <c r="P109" s="17" t="str">
        <f>IF(N109&gt;0,(N109*VLOOKUP(Lookups!$K$11,Lookups!$M$10:$P$43,4,0)/VLOOKUP(O109,Lookups!$M$10:$P$43,4,0)),"")</f>
        <v/>
      </c>
      <c r="Q109" s="173" t="s">
        <v>2735</v>
      </c>
      <c r="R109" s="15" t="s">
        <v>154</v>
      </c>
      <c r="S109" s="12" t="s">
        <v>2736</v>
      </c>
      <c r="T109" s="176" t="s">
        <v>923</v>
      </c>
      <c r="U109" s="90" t="s">
        <v>2737</v>
      </c>
    </row>
    <row r="110" spans="1:21" s="36" customFormat="1" ht="60" hidden="1" customHeight="1" outlineLevel="1" x14ac:dyDescent="0.25">
      <c r="A110" s="42" t="s">
        <v>219</v>
      </c>
      <c r="B110" s="42" t="s">
        <v>230</v>
      </c>
      <c r="C110" s="42" t="s">
        <v>2955</v>
      </c>
      <c r="D110" s="157" t="s">
        <v>2738</v>
      </c>
      <c r="E110" s="12" t="s">
        <v>26</v>
      </c>
      <c r="F110" s="12" t="s">
        <v>162</v>
      </c>
      <c r="G110" s="12" t="s">
        <v>2692</v>
      </c>
      <c r="H110" s="14">
        <v>225</v>
      </c>
      <c r="I110" s="15" t="s">
        <v>261</v>
      </c>
      <c r="J110" s="17">
        <f>IF(H110&gt;0,(H110*VLOOKUP(Lookups!$K$11,Lookups!$M$10:$P$43,4,0)/VLOOKUP(I110,Lookups!$M$10:$P$43,4,0)),"")</f>
        <v>245.25670926673868</v>
      </c>
      <c r="K110" s="14"/>
      <c r="L110" s="15"/>
      <c r="M110" s="17" t="str">
        <f>IF(K110&gt;0,(K110*VLOOKUP(Lookups!$K$11,Lookups!$M$10:$P$43,4,0)/VLOOKUP(L110,Lookups!$M$10:$P$43,4,0)),"")</f>
        <v/>
      </c>
      <c r="N110" s="14"/>
      <c r="O110" s="15"/>
      <c r="P110" s="17" t="str">
        <f>IF(N110&gt;0,(N110*VLOOKUP(Lookups!$K$11,Lookups!$M$10:$P$43,4,0)/VLOOKUP(O110,Lookups!$M$10:$P$43,4,0)),"")</f>
        <v/>
      </c>
      <c r="Q110" s="173" t="s">
        <v>2735</v>
      </c>
      <c r="R110" s="15" t="s">
        <v>154</v>
      </c>
      <c r="S110" s="12" t="s">
        <v>2739</v>
      </c>
      <c r="T110" s="176" t="s">
        <v>923</v>
      </c>
      <c r="U110" s="90" t="s">
        <v>2737</v>
      </c>
    </row>
    <row r="111" spans="1:21" s="36" customFormat="1" ht="60" hidden="1" customHeight="1" outlineLevel="1" x14ac:dyDescent="0.25">
      <c r="A111" s="42" t="s">
        <v>219</v>
      </c>
      <c r="B111" s="42" t="s">
        <v>230</v>
      </c>
      <c r="C111" s="42" t="s">
        <v>2956</v>
      </c>
      <c r="D111" s="42" t="s">
        <v>135</v>
      </c>
      <c r="E111" s="12" t="s">
        <v>153</v>
      </c>
      <c r="F111" s="12" t="s">
        <v>162</v>
      </c>
      <c r="G111" s="12" t="s">
        <v>2692</v>
      </c>
      <c r="H111" s="14">
        <v>100</v>
      </c>
      <c r="I111" s="15" t="s">
        <v>258</v>
      </c>
      <c r="J111" s="17">
        <f>IF(H111&gt;0,(H111*VLOOKUP(Lookups!$K$11,Lookups!$M$10:$P$43,4,0)/VLOOKUP(I111,Lookups!$M$10:$P$43,4,0)),"")</f>
        <v>115.68822806199526</v>
      </c>
      <c r="K111" s="14"/>
      <c r="L111" s="15"/>
      <c r="M111" s="17" t="str">
        <f>IF(K111&gt;0,(K111*VLOOKUP(Lookups!$K$11,Lookups!$M$10:$P$43,4,0)/VLOOKUP(L111,Lookups!$M$10:$P$43,4,0)),"")</f>
        <v/>
      </c>
      <c r="N111" s="14"/>
      <c r="O111" s="15"/>
      <c r="P111" s="17" t="str">
        <f>IF(N111&gt;0,(N111*VLOOKUP(Lookups!$K$11,Lookups!$M$10:$P$43,4,0)/VLOOKUP(O111,Lookups!$M$10:$P$43,4,0)),"")</f>
        <v/>
      </c>
      <c r="Q111" s="173" t="s">
        <v>1898</v>
      </c>
      <c r="R111" s="15" t="s">
        <v>152</v>
      </c>
      <c r="S111" s="12" t="s">
        <v>66</v>
      </c>
      <c r="T111" s="176"/>
      <c r="U111" s="90" t="s">
        <v>2222</v>
      </c>
    </row>
    <row r="112" spans="1:21" s="36" customFormat="1" ht="60" hidden="1" customHeight="1" outlineLevel="1" x14ac:dyDescent="0.25">
      <c r="A112" s="42" t="s">
        <v>219</v>
      </c>
      <c r="B112" s="42" t="s">
        <v>230</v>
      </c>
      <c r="C112" s="42" t="s">
        <v>2957</v>
      </c>
      <c r="D112" s="42" t="s">
        <v>70</v>
      </c>
      <c r="E112" s="12" t="s">
        <v>161</v>
      </c>
      <c r="F112" s="12" t="s">
        <v>162</v>
      </c>
      <c r="G112" s="12" t="s">
        <v>2692</v>
      </c>
      <c r="H112" s="14">
        <v>40</v>
      </c>
      <c r="I112" s="15" t="s">
        <v>258</v>
      </c>
      <c r="J112" s="17">
        <f>IF(H112&gt;0,(H112*VLOOKUP(Lookups!$K$11,Lookups!$M$10:$P$43,4,0)/VLOOKUP(I112,Lookups!$M$10:$P$43,4,0)),"")</f>
        <v>46.27529122479811</v>
      </c>
      <c r="K112" s="14"/>
      <c r="L112" s="15"/>
      <c r="M112" s="17" t="str">
        <f>IF(K112&gt;0,(K112*VLOOKUP(Lookups!$K$11,Lookups!$M$10:$P$43,4,0)/VLOOKUP(L112,Lookups!$M$10:$P$43,4,0)),"")</f>
        <v/>
      </c>
      <c r="N112" s="14"/>
      <c r="O112" s="15"/>
      <c r="P112" s="17" t="str">
        <f>IF(N112&gt;0,(N112*VLOOKUP(Lookups!$K$11,Lookups!$M$10:$P$43,4,0)/VLOOKUP(O112,Lookups!$M$10:$P$43,4,0)),"")</f>
        <v/>
      </c>
      <c r="Q112" s="173" t="s">
        <v>1899</v>
      </c>
      <c r="R112" s="15" t="s">
        <v>152</v>
      </c>
      <c r="S112" s="12" t="s">
        <v>1900</v>
      </c>
      <c r="T112" s="176"/>
      <c r="U112" s="90" t="s">
        <v>2222</v>
      </c>
    </row>
    <row r="113" spans="1:21" s="36" customFormat="1" ht="60" customHeight="1" collapsed="1" x14ac:dyDescent="0.25">
      <c r="A113" s="38" t="s">
        <v>219</v>
      </c>
      <c r="B113" s="38" t="s">
        <v>230</v>
      </c>
      <c r="C113" s="38" t="s">
        <v>961</v>
      </c>
      <c r="D113" s="38" t="s">
        <v>53</v>
      </c>
      <c r="E113" s="12" t="s">
        <v>626</v>
      </c>
      <c r="F113" s="12" t="s">
        <v>210</v>
      </c>
      <c r="G113" s="4" t="s">
        <v>162</v>
      </c>
      <c r="H113" s="14">
        <v>1866</v>
      </c>
      <c r="I113" s="15" t="s">
        <v>193</v>
      </c>
      <c r="J113" s="17">
        <f>IF(H113&gt;0,(H113*VLOOKUP(Lookups!$K$11,Lookups!$M$10:$P$43,4,0)/VLOOKUP(I113,Lookups!$M$10:$P$43,4,0)),"")</f>
        <v>2529.9735188134678</v>
      </c>
      <c r="K113" s="14">
        <v>3755</v>
      </c>
      <c r="L113" s="15" t="s">
        <v>193</v>
      </c>
      <c r="M113" s="17">
        <f>IF(K113&gt;0,(K113*VLOOKUP(Lookups!$K$11,Lookups!$M$10:$P$43,4,0)/VLOOKUP(L113,Lookups!$M$10:$P$43,4,0)),"")</f>
        <v>5091.1310627784405</v>
      </c>
      <c r="N113" s="14"/>
      <c r="O113" s="15"/>
      <c r="P113" s="17" t="str">
        <f>IF(N113&gt;0,(N113*VLOOKUP(Lookups!$K$11,Lookups!$M$10:$P$43,4,0)/VLOOKUP(O113,Lookups!$M$10:$P$43,4,0)),"")</f>
        <v/>
      </c>
      <c r="Q113" s="143" t="s">
        <v>124</v>
      </c>
      <c r="R113" s="15" t="s">
        <v>149</v>
      </c>
      <c r="S113" s="12" t="s">
        <v>2689</v>
      </c>
      <c r="T113" s="176"/>
      <c r="U113" s="4"/>
    </row>
    <row r="114" spans="1:21" s="36" customFormat="1" ht="60" hidden="1" customHeight="1" outlineLevel="2" x14ac:dyDescent="0.25">
      <c r="A114" s="12" t="s">
        <v>219</v>
      </c>
      <c r="B114" s="12" t="s">
        <v>230</v>
      </c>
      <c r="C114" s="12" t="s">
        <v>2958</v>
      </c>
      <c r="D114" s="44" t="s">
        <v>127</v>
      </c>
      <c r="E114" s="12" t="s">
        <v>626</v>
      </c>
      <c r="F114" s="12" t="s">
        <v>210</v>
      </c>
      <c r="G114" s="4" t="s">
        <v>631</v>
      </c>
      <c r="H114" s="14">
        <v>1047</v>
      </c>
      <c r="I114" s="15" t="s">
        <v>193</v>
      </c>
      <c r="J114" s="17">
        <f>IF(H114&gt;0,(H114*VLOOKUP(Lookups!$K$11,Lookups!$M$10:$P$43,4,0)/VLOOKUP(I114,Lookups!$M$10:$P$43,4,0)),"")</f>
        <v>1419.5510579837623</v>
      </c>
      <c r="K114" s="14"/>
      <c r="L114" s="15"/>
      <c r="M114" s="17" t="str">
        <f>IF(K114&gt;0,(K114*VLOOKUP(Lookups!$K$11,Lookups!$M$10:$P$43,4,0)/VLOOKUP(L114,Lookups!$M$10:$P$43,4,0)),"")</f>
        <v/>
      </c>
      <c r="N114" s="14"/>
      <c r="O114" s="15"/>
      <c r="P114" s="17" t="str">
        <f>IF(N114&gt;0,(N114*VLOOKUP(Lookups!$K$11,Lookups!$M$10:$P$43,4,0)/VLOOKUP(O114,Lookups!$M$10:$P$43,4,0)),"")</f>
        <v/>
      </c>
      <c r="Q114" s="143" t="s">
        <v>124</v>
      </c>
      <c r="R114" s="15" t="s">
        <v>149</v>
      </c>
      <c r="S114" s="12" t="s">
        <v>1289</v>
      </c>
      <c r="T114" s="176"/>
      <c r="U114" s="4"/>
    </row>
    <row r="115" spans="1:21" s="36" customFormat="1" ht="60" hidden="1" customHeight="1" outlineLevel="2" x14ac:dyDescent="0.25">
      <c r="A115" s="12" t="s">
        <v>219</v>
      </c>
      <c r="B115" s="12" t="s">
        <v>230</v>
      </c>
      <c r="C115" s="12" t="s">
        <v>2959</v>
      </c>
      <c r="D115" s="44" t="s">
        <v>125</v>
      </c>
      <c r="E115" s="12" t="s">
        <v>626</v>
      </c>
      <c r="F115" s="12" t="s">
        <v>162</v>
      </c>
      <c r="G115" s="12" t="s">
        <v>2692</v>
      </c>
      <c r="H115" s="14">
        <v>806</v>
      </c>
      <c r="I115" s="15" t="s">
        <v>193</v>
      </c>
      <c r="J115" s="17">
        <f>IF(H115&gt;0,(H115*VLOOKUP(Lookups!$K$11,Lookups!$M$10:$P$43,4,0)/VLOOKUP(I115,Lookups!$M$10:$P$43,4,0)),"")</f>
        <v>1092.796707483202</v>
      </c>
      <c r="K115" s="14"/>
      <c r="L115" s="15"/>
      <c r="M115" s="17" t="str">
        <f>IF(K115&gt;0,(K115*VLOOKUP(Lookups!$K$11,Lookups!$M$10:$P$43,4,0)/VLOOKUP(L115,Lookups!$M$10:$P$43,4,0)),"")</f>
        <v/>
      </c>
      <c r="N115" s="14"/>
      <c r="O115" s="15"/>
      <c r="P115" s="17" t="str">
        <f>IF(N115&gt;0,(N115*VLOOKUP(Lookups!$K$11,Lookups!$M$10:$P$43,4,0)/VLOOKUP(O115,Lookups!$M$10:$P$43,4,0)),"")</f>
        <v/>
      </c>
      <c r="Q115" s="143" t="s">
        <v>124</v>
      </c>
      <c r="R115" s="15" t="s">
        <v>149</v>
      </c>
      <c r="S115" s="12" t="s">
        <v>1290</v>
      </c>
      <c r="T115" s="176"/>
      <c r="U115" s="4"/>
    </row>
    <row r="116" spans="1:21" s="36" customFormat="1" ht="60" hidden="1" customHeight="1" outlineLevel="2" x14ac:dyDescent="0.25">
      <c r="A116" s="12" t="s">
        <v>219</v>
      </c>
      <c r="B116" s="12" t="s">
        <v>230</v>
      </c>
      <c r="C116" s="12" t="s">
        <v>2960</v>
      </c>
      <c r="D116" s="44" t="s">
        <v>126</v>
      </c>
      <c r="E116" s="12" t="s">
        <v>626</v>
      </c>
      <c r="F116" s="12" t="s">
        <v>147</v>
      </c>
      <c r="G116" s="4" t="s">
        <v>201</v>
      </c>
      <c r="H116" s="14">
        <v>13</v>
      </c>
      <c r="I116" s="15" t="s">
        <v>193</v>
      </c>
      <c r="J116" s="17">
        <f>IF(H116&gt;0,(H116*VLOOKUP(Lookups!$K$11,Lookups!$M$10:$P$43,4,0)/VLOOKUP(I116,Lookups!$M$10:$P$43,4,0)),"")</f>
        <v>17.625753346503256</v>
      </c>
      <c r="K116" s="14"/>
      <c r="L116" s="15"/>
      <c r="M116" s="17" t="str">
        <f>IF(K116&gt;0,(K116*VLOOKUP(Lookups!$K$11,Lookups!$M$10:$P$43,4,0)/VLOOKUP(L116,Lookups!$M$10:$P$43,4,0)),"")</f>
        <v/>
      </c>
      <c r="N116" s="14"/>
      <c r="O116" s="15"/>
      <c r="P116" s="17" t="str">
        <f>IF(N116&gt;0,(N116*VLOOKUP(Lookups!$K$11,Lookups!$M$10:$P$43,4,0)/VLOOKUP(O116,Lookups!$M$10:$P$43,4,0)),"")</f>
        <v/>
      </c>
      <c r="Q116" s="143" t="s">
        <v>124</v>
      </c>
      <c r="R116" s="15" t="s">
        <v>149</v>
      </c>
      <c r="S116" s="12" t="s">
        <v>1291</v>
      </c>
      <c r="T116" s="176"/>
      <c r="U116" s="4"/>
    </row>
    <row r="117" spans="1:21" s="36" customFormat="1" ht="60" hidden="1" customHeight="1" outlineLevel="1" collapsed="1" x14ac:dyDescent="0.25">
      <c r="A117" s="42" t="s">
        <v>219</v>
      </c>
      <c r="B117" s="42" t="s">
        <v>230</v>
      </c>
      <c r="C117" s="42" t="s">
        <v>2244</v>
      </c>
      <c r="D117" s="42" t="s">
        <v>54</v>
      </c>
      <c r="E117" s="12" t="s">
        <v>626</v>
      </c>
      <c r="F117" s="12" t="s">
        <v>162</v>
      </c>
      <c r="G117" s="4" t="s">
        <v>667</v>
      </c>
      <c r="H117" s="14">
        <v>822</v>
      </c>
      <c r="I117" s="15" t="s">
        <v>193</v>
      </c>
      <c r="J117" s="17">
        <f>IF(H117&gt;0,(H117*VLOOKUP(Lookups!$K$11,Lookups!$M$10:$P$43,4,0)/VLOOKUP(I117,Lookups!$M$10:$P$43,4,0)),"")</f>
        <v>1114.4899423712061</v>
      </c>
      <c r="K117" s="14">
        <v>3362</v>
      </c>
      <c r="L117" s="15" t="s">
        <v>193</v>
      </c>
      <c r="M117" s="17">
        <f>IF(K117&gt;0,(K117*VLOOKUP(Lookups!$K$11,Lookups!$M$10:$P$43,4,0)/VLOOKUP(L117,Lookups!$M$10:$P$43,4,0)),"")</f>
        <v>4558.2909808418426</v>
      </c>
      <c r="N117" s="14"/>
      <c r="O117" s="15"/>
      <c r="P117" s="17" t="str">
        <f>IF(N117&gt;0,(N117*VLOOKUP(Lookups!$K$11,Lookups!$M$10:$P$43,4,0)/VLOOKUP(O117,Lookups!$M$10:$P$43,4,0)),"")</f>
        <v/>
      </c>
      <c r="Q117" s="143" t="s">
        <v>142</v>
      </c>
      <c r="R117" s="15" t="s">
        <v>149</v>
      </c>
      <c r="S117" s="12" t="s">
        <v>1292</v>
      </c>
      <c r="T117" s="176"/>
      <c r="U117" s="4"/>
    </row>
    <row r="118" spans="1:21" s="36" customFormat="1" ht="60" hidden="1" customHeight="1" outlineLevel="2" x14ac:dyDescent="0.25">
      <c r="A118" s="34" t="s">
        <v>219</v>
      </c>
      <c r="B118" s="34" t="s">
        <v>230</v>
      </c>
      <c r="C118" s="12" t="s">
        <v>2961</v>
      </c>
      <c r="D118" s="41" t="s">
        <v>98</v>
      </c>
      <c r="E118" s="12" t="s">
        <v>626</v>
      </c>
      <c r="F118" s="12" t="s">
        <v>162</v>
      </c>
      <c r="G118" s="12" t="s">
        <v>2692</v>
      </c>
      <c r="H118" s="14">
        <v>717</v>
      </c>
      <c r="I118" s="15" t="s">
        <v>193</v>
      </c>
      <c r="J118" s="17">
        <f>IF(H118&gt;0,(H118*VLOOKUP(Lookups!$K$11,Lookups!$M$10:$P$43,4,0)/VLOOKUP(I118,Lookups!$M$10:$P$43,4,0)),"")</f>
        <v>972.12808841867979</v>
      </c>
      <c r="K118" s="14"/>
      <c r="L118" s="15"/>
      <c r="M118" s="17" t="str">
        <f>IF(K118&gt;0,(K118*VLOOKUP(Lookups!$K$11,Lookups!$M$10:$P$43,4,0)/VLOOKUP(L118,Lookups!$M$10:$P$43,4,0)),"")</f>
        <v/>
      </c>
      <c r="N118" s="14"/>
      <c r="O118" s="15"/>
      <c r="P118" s="17" t="str">
        <f>IF(N118&gt;0,(N118*VLOOKUP(Lookups!$K$11,Lookups!$M$10:$P$43,4,0)/VLOOKUP(O118,Lookups!$M$10:$P$43,4,0)),"")</f>
        <v/>
      </c>
      <c r="Q118" s="143" t="s">
        <v>142</v>
      </c>
      <c r="R118" s="15" t="s">
        <v>149</v>
      </c>
      <c r="S118" s="12" t="s">
        <v>1293</v>
      </c>
      <c r="T118" s="176"/>
      <c r="U118" s="4"/>
    </row>
    <row r="119" spans="1:21" s="36" customFormat="1" ht="60" hidden="1" customHeight="1" outlineLevel="2" x14ac:dyDescent="0.25">
      <c r="A119" s="34" t="s">
        <v>219</v>
      </c>
      <c r="B119" s="34" t="s">
        <v>230</v>
      </c>
      <c r="C119" s="34" t="s">
        <v>2962</v>
      </c>
      <c r="D119" s="41" t="s">
        <v>97</v>
      </c>
      <c r="E119" s="12" t="s">
        <v>626</v>
      </c>
      <c r="F119" s="12" t="s">
        <v>210</v>
      </c>
      <c r="G119" s="4" t="s">
        <v>631</v>
      </c>
      <c r="H119" s="14">
        <v>91</v>
      </c>
      <c r="I119" s="15" t="s">
        <v>193</v>
      </c>
      <c r="J119" s="17">
        <f>IF(H119&gt;0,(H119*VLOOKUP(Lookups!$K$11,Lookups!$M$10:$P$43,4,0)/VLOOKUP(I119,Lookups!$M$10:$P$43,4,0)),"")</f>
        <v>123.3802734255228</v>
      </c>
      <c r="K119" s="14"/>
      <c r="L119" s="15"/>
      <c r="M119" s="17" t="str">
        <f>IF(K119&gt;0,(K119*VLOOKUP(Lookups!$K$11,Lookups!$M$10:$P$43,4,0)/VLOOKUP(L119,Lookups!$M$10:$P$43,4,0)),"")</f>
        <v/>
      </c>
      <c r="N119" s="14"/>
      <c r="O119" s="15"/>
      <c r="P119" s="17" t="str">
        <f>IF(N119&gt;0,(N119*VLOOKUP(Lookups!$K$11,Lookups!$M$10:$P$43,4,0)/VLOOKUP(O119,Lookups!$M$10:$P$43,4,0)),"")</f>
        <v/>
      </c>
      <c r="Q119" s="143" t="s">
        <v>142</v>
      </c>
      <c r="R119" s="15" t="s">
        <v>149</v>
      </c>
      <c r="S119" s="12" t="s">
        <v>1294</v>
      </c>
      <c r="T119" s="176"/>
      <c r="U119" s="4"/>
    </row>
    <row r="120" spans="1:21" s="36" customFormat="1" ht="60" hidden="1" customHeight="1" outlineLevel="2" x14ac:dyDescent="0.25">
      <c r="A120" s="34" t="s">
        <v>219</v>
      </c>
      <c r="B120" s="34" t="s">
        <v>230</v>
      </c>
      <c r="C120" s="34" t="s">
        <v>2963</v>
      </c>
      <c r="D120" s="41" t="s">
        <v>99</v>
      </c>
      <c r="E120" s="12" t="s">
        <v>626</v>
      </c>
      <c r="F120" s="12" t="s">
        <v>147</v>
      </c>
      <c r="G120" s="4" t="s">
        <v>201</v>
      </c>
      <c r="H120" s="14">
        <v>14</v>
      </c>
      <c r="I120" s="15" t="s">
        <v>193</v>
      </c>
      <c r="J120" s="17">
        <f>IF(H120&gt;0,(H120*VLOOKUP(Lookups!$K$11,Lookups!$M$10:$P$43,4,0)/VLOOKUP(I120,Lookups!$M$10:$P$43,4,0)),"")</f>
        <v>18.981580527003509</v>
      </c>
      <c r="K120" s="14"/>
      <c r="L120" s="15"/>
      <c r="M120" s="17" t="str">
        <f>IF(K120&gt;0,(K120*VLOOKUP(Lookups!$K$11,Lookups!$M$10:$P$43,4,0)/VLOOKUP(L120,Lookups!$M$10:$P$43,4,0)),"")</f>
        <v/>
      </c>
      <c r="N120" s="14"/>
      <c r="O120" s="15"/>
      <c r="P120" s="17" t="str">
        <f>IF(N120&gt;0,(N120*VLOOKUP(Lookups!$K$11,Lookups!$M$10:$P$43,4,0)/VLOOKUP(O120,Lookups!$M$10:$P$43,4,0)),"")</f>
        <v/>
      </c>
      <c r="Q120" s="143" t="s">
        <v>142</v>
      </c>
      <c r="R120" s="15" t="s">
        <v>149</v>
      </c>
      <c r="S120" s="12" t="s">
        <v>1295</v>
      </c>
      <c r="T120" s="176"/>
      <c r="U120" s="4"/>
    </row>
    <row r="121" spans="1:21" s="36" customFormat="1" ht="60" hidden="1" customHeight="1" outlineLevel="1" x14ac:dyDescent="0.25">
      <c r="A121" s="42" t="s">
        <v>219</v>
      </c>
      <c r="B121" s="42" t="s">
        <v>230</v>
      </c>
      <c r="C121" s="42" t="s">
        <v>2245</v>
      </c>
      <c r="D121" s="42" t="s">
        <v>2677</v>
      </c>
      <c r="E121" s="12" t="s">
        <v>626</v>
      </c>
      <c r="F121" s="12"/>
      <c r="G121" s="4"/>
      <c r="H121" s="14"/>
      <c r="I121" s="15"/>
      <c r="J121" s="17" t="str">
        <f>IF(H121&gt;0,(H121*VLOOKUP(Lookups!$K$11,Lookups!$M$10:$P$43,4,0)/VLOOKUP(I121,Lookups!$M$10:$P$43,4,0)),"")</f>
        <v/>
      </c>
      <c r="K121" s="14">
        <v>11302</v>
      </c>
      <c r="L121" s="15" t="s">
        <v>261</v>
      </c>
      <c r="M121" s="17">
        <f>IF(K121&gt;0,(K121*VLOOKUP(Lookups!$K$11,Lookups!$M$10:$P$43,4,0)/VLOOKUP(L121,Lookups!$M$10:$P$43,4,0)),"")</f>
        <v>12319.517013923025</v>
      </c>
      <c r="N121" s="14"/>
      <c r="O121" s="15"/>
      <c r="P121" s="17" t="str">
        <f>IF(N121&gt;0,(N121*VLOOKUP(Lookups!$K$11,Lookups!$M$10:$P$43,4,0)/VLOOKUP(O121,Lookups!$M$10:$P$43,4,0)),"")</f>
        <v/>
      </c>
      <c r="Q121" s="143" t="s">
        <v>2665</v>
      </c>
      <c r="R121" s="15" t="s">
        <v>152</v>
      </c>
      <c r="S121" s="107" t="s">
        <v>2672</v>
      </c>
      <c r="T121" s="176" t="s">
        <v>922</v>
      </c>
      <c r="U121" s="4" t="s">
        <v>2666</v>
      </c>
    </row>
    <row r="122" spans="1:21" s="36" customFormat="1" ht="60" hidden="1" customHeight="1" outlineLevel="1" x14ac:dyDescent="0.25">
      <c r="A122" s="42" t="s">
        <v>219</v>
      </c>
      <c r="B122" s="42" t="s">
        <v>230</v>
      </c>
      <c r="C122" s="42" t="s">
        <v>35</v>
      </c>
      <c r="D122" s="42" t="s">
        <v>2673</v>
      </c>
      <c r="E122" s="12" t="s">
        <v>626</v>
      </c>
      <c r="F122" s="12"/>
      <c r="G122" s="4"/>
      <c r="H122" s="14"/>
      <c r="I122" s="15"/>
      <c r="J122" s="17" t="str">
        <f>IF(H122&gt;0,(H122*VLOOKUP(Lookups!$K$11,Lookups!$M$10:$P$43,4,0)/VLOOKUP(I122,Lookups!$M$10:$P$43,4,0)),"")</f>
        <v/>
      </c>
      <c r="K122" s="14">
        <v>9024</v>
      </c>
      <c r="L122" s="15" t="s">
        <v>261</v>
      </c>
      <c r="M122" s="17">
        <f>IF(K122&gt;0,(K122*VLOOKUP(Lookups!$K$11,Lookups!$M$10:$P$43,4,0)/VLOOKUP(L122,Lookups!$M$10:$P$43,4,0)),"")</f>
        <v>9836.4290863246661</v>
      </c>
      <c r="N122" s="14"/>
      <c r="O122" s="15"/>
      <c r="P122" s="17" t="str">
        <f>IF(N122&gt;0,(N122*VLOOKUP(Lookups!$K$11,Lookups!$M$10:$P$43,4,0)/VLOOKUP(O122,Lookups!$M$10:$P$43,4,0)),"")</f>
        <v/>
      </c>
      <c r="Q122" s="143" t="s">
        <v>2665</v>
      </c>
      <c r="R122" s="15" t="s">
        <v>152</v>
      </c>
      <c r="S122" s="107" t="s">
        <v>2672</v>
      </c>
      <c r="T122" s="176" t="s">
        <v>922</v>
      </c>
      <c r="U122" s="4" t="s">
        <v>2666</v>
      </c>
    </row>
    <row r="123" spans="1:21" s="36" customFormat="1" ht="60" hidden="1" customHeight="1" outlineLevel="1" x14ac:dyDescent="0.25">
      <c r="A123" s="42" t="s">
        <v>219</v>
      </c>
      <c r="B123" s="42" t="s">
        <v>230</v>
      </c>
      <c r="C123" s="42" t="s">
        <v>41</v>
      </c>
      <c r="D123" s="42" t="s">
        <v>2674</v>
      </c>
      <c r="E123" s="12" t="s">
        <v>626</v>
      </c>
      <c r="F123" s="12"/>
      <c r="G123" s="4"/>
      <c r="H123" s="14"/>
      <c r="I123" s="15"/>
      <c r="J123" s="17" t="str">
        <f>IF(H123&gt;0,(H123*VLOOKUP(Lookups!$K$11,Lookups!$M$10:$P$43,4,0)/VLOOKUP(I123,Lookups!$M$10:$P$43,4,0)),"")</f>
        <v/>
      </c>
      <c r="K123" s="14">
        <v>15442</v>
      </c>
      <c r="L123" s="15" t="s">
        <v>261</v>
      </c>
      <c r="M123" s="17">
        <f>IF(K123&gt;0,(K123*VLOOKUP(Lookups!$K$11,Lookups!$M$10:$P$43,4,0)/VLOOKUP(L123,Lookups!$M$10:$P$43,4,0)),"")</f>
        <v>16832.240464431015</v>
      </c>
      <c r="N123" s="14"/>
      <c r="O123" s="15"/>
      <c r="P123" s="17" t="str">
        <f>IF(N123&gt;0,(N123*VLOOKUP(Lookups!$K$11,Lookups!$M$10:$P$43,4,0)/VLOOKUP(O123,Lookups!$M$10:$P$43,4,0)),"")</f>
        <v/>
      </c>
      <c r="Q123" s="143" t="s">
        <v>2665</v>
      </c>
      <c r="R123" s="15" t="s">
        <v>152</v>
      </c>
      <c r="S123" s="107" t="s">
        <v>2672</v>
      </c>
      <c r="T123" s="176" t="s">
        <v>922</v>
      </c>
      <c r="U123" s="4" t="s">
        <v>2666</v>
      </c>
    </row>
    <row r="124" spans="1:21" s="36" customFormat="1" ht="60" hidden="1" customHeight="1" outlineLevel="1" x14ac:dyDescent="0.25">
      <c r="A124" s="42" t="s">
        <v>219</v>
      </c>
      <c r="B124" s="42" t="s">
        <v>230</v>
      </c>
      <c r="C124" s="42" t="s">
        <v>42</v>
      </c>
      <c r="D124" s="42" t="s">
        <v>2675</v>
      </c>
      <c r="E124" s="12" t="s">
        <v>626</v>
      </c>
      <c r="F124" s="12"/>
      <c r="G124" s="4"/>
      <c r="H124" s="14"/>
      <c r="I124" s="15"/>
      <c r="J124" s="17" t="str">
        <f>IF(H124&gt;0,(H124*VLOOKUP(Lookups!$K$11,Lookups!$M$10:$P$43,4,0)/VLOOKUP(I124,Lookups!$M$10:$P$43,4,0)),"")</f>
        <v/>
      </c>
      <c r="K124" s="14">
        <v>1091</v>
      </c>
      <c r="L124" s="15" t="s">
        <v>261</v>
      </c>
      <c r="M124" s="17">
        <f>IF(K124&gt;0,(K124*VLOOKUP(Lookups!$K$11,Lookups!$M$10:$P$43,4,0)/VLOOKUP(L124,Lookups!$M$10:$P$43,4,0)),"")</f>
        <v>1189.2225324889416</v>
      </c>
      <c r="N124" s="14"/>
      <c r="O124" s="15"/>
      <c r="P124" s="17" t="str">
        <f>IF(N124&gt;0,(N124*VLOOKUP(Lookups!$K$11,Lookups!$M$10:$P$43,4,0)/VLOOKUP(O124,Lookups!$M$10:$P$43,4,0)),"")</f>
        <v/>
      </c>
      <c r="Q124" s="143" t="s">
        <v>2665</v>
      </c>
      <c r="R124" s="15" t="s">
        <v>152</v>
      </c>
      <c r="S124" s="107" t="s">
        <v>2672</v>
      </c>
      <c r="T124" s="176" t="s">
        <v>922</v>
      </c>
      <c r="U124" s="4" t="s">
        <v>2666</v>
      </c>
    </row>
    <row r="125" spans="1:21" s="36" customFormat="1" ht="60" hidden="1" customHeight="1" outlineLevel="1" x14ac:dyDescent="0.25">
      <c r="A125" s="42" t="s">
        <v>219</v>
      </c>
      <c r="B125" s="42" t="s">
        <v>230</v>
      </c>
      <c r="C125" s="42" t="s">
        <v>43</v>
      </c>
      <c r="D125" s="42" t="s">
        <v>2676</v>
      </c>
      <c r="E125" s="12" t="s">
        <v>626</v>
      </c>
      <c r="F125" s="12"/>
      <c r="G125" s="4"/>
      <c r="H125" s="14"/>
      <c r="I125" s="15"/>
      <c r="J125" s="17" t="str">
        <f>IF(H125&gt;0,(H125*VLOOKUP(Lookups!$K$11,Lookups!$M$10:$P$43,4,0)/VLOOKUP(I125,Lookups!$M$10:$P$43,4,0)),"")</f>
        <v/>
      </c>
      <c r="K125" s="14">
        <v>10657</v>
      </c>
      <c r="L125" s="15" t="s">
        <v>261</v>
      </c>
      <c r="M125" s="17">
        <f>IF(K125&gt;0,(K125*VLOOKUP(Lookups!$K$11,Lookups!$M$10:$P$43,4,0)/VLOOKUP(L125,Lookups!$M$10:$P$43,4,0)),"")</f>
        <v>11616.447780691708</v>
      </c>
      <c r="N125" s="14"/>
      <c r="O125" s="15"/>
      <c r="P125" s="17" t="str">
        <f>IF(N125&gt;0,(N125*VLOOKUP(Lookups!$K$11,Lookups!$M$10:$P$43,4,0)/VLOOKUP(O125,Lookups!$M$10:$P$43,4,0)),"")</f>
        <v/>
      </c>
      <c r="Q125" s="143" t="s">
        <v>2665</v>
      </c>
      <c r="R125" s="15" t="s">
        <v>152</v>
      </c>
      <c r="S125" s="107" t="s">
        <v>2672</v>
      </c>
      <c r="T125" s="176" t="s">
        <v>922</v>
      </c>
      <c r="U125" s="4" t="s">
        <v>2666</v>
      </c>
    </row>
    <row r="126" spans="1:21" s="56" customFormat="1" ht="60" customHeight="1" collapsed="1" x14ac:dyDescent="0.25">
      <c r="A126" s="40" t="s">
        <v>219</v>
      </c>
      <c r="B126" s="40" t="s">
        <v>230</v>
      </c>
      <c r="C126" s="40" t="s">
        <v>962</v>
      </c>
      <c r="D126" s="40" t="s">
        <v>2872</v>
      </c>
      <c r="E126" s="160" t="s">
        <v>163</v>
      </c>
      <c r="F126" s="160" t="s">
        <v>162</v>
      </c>
      <c r="G126" s="160" t="s">
        <v>2692</v>
      </c>
      <c r="H126" s="172">
        <v>23.46</v>
      </c>
      <c r="I126" s="15" t="s">
        <v>1520</v>
      </c>
      <c r="J126" s="17">
        <f>IF(H126&gt;0,(H126*VLOOKUP(Lookups!$K$11,Lookups!$M$10:$P$43,4,0)/VLOOKUP(I126,Lookups!$M$10:$P$43,4,0)),"")</f>
        <v>24.161994099510931</v>
      </c>
      <c r="K126" s="161"/>
      <c r="L126" s="15"/>
      <c r="M126" s="17" t="str">
        <f>IF(K126&gt;0,(K126*VLOOKUP(Lookups!$K$11,Lookups!$M$10:$P$43,4,0)/VLOOKUP(L126,Lookups!$M$10:$P$43,4,0)),"")</f>
        <v/>
      </c>
      <c r="N126" s="161"/>
      <c r="O126" s="15"/>
      <c r="P126" s="17" t="str">
        <f>IF(N126&gt;0,(N126*VLOOKUP(Lookups!$K$11,Lookups!$M$10:$P$43,4,0)/VLOOKUP(O126,Lookups!$M$10:$P$43,4,0)),"")</f>
        <v/>
      </c>
      <c r="Q126" s="173" t="s">
        <v>3231</v>
      </c>
      <c r="R126" s="15" t="s">
        <v>154</v>
      </c>
      <c r="S126" s="107" t="s">
        <v>2350</v>
      </c>
      <c r="T126" s="176" t="s">
        <v>923</v>
      </c>
      <c r="U126" s="4" t="s">
        <v>2832</v>
      </c>
    </row>
    <row r="127" spans="1:21" s="54" customFormat="1" ht="60" hidden="1" customHeight="1" outlineLevel="1" x14ac:dyDescent="0.25">
      <c r="A127" s="50" t="s">
        <v>219</v>
      </c>
      <c r="B127" s="50" t="s">
        <v>230</v>
      </c>
      <c r="C127" s="50" t="s">
        <v>431</v>
      </c>
      <c r="D127" s="50" t="s">
        <v>2873</v>
      </c>
      <c r="E127" s="90" t="s">
        <v>148</v>
      </c>
      <c r="F127" s="90" t="s">
        <v>162</v>
      </c>
      <c r="G127" s="90" t="s">
        <v>2692</v>
      </c>
      <c r="H127" s="193">
        <v>285.64</v>
      </c>
      <c r="I127" s="181" t="s">
        <v>1520</v>
      </c>
      <c r="J127" s="221">
        <f>IF(H127&gt;0,(H127*VLOOKUP(Lookups!$K$11,Lookups!$M$10:$P$43,4,0)/VLOOKUP(I127,Lookups!$M$10:$P$43,4,0)),"")</f>
        <v>294.18721204536661</v>
      </c>
      <c r="K127" s="165"/>
      <c r="L127" s="181"/>
      <c r="M127" s="221" t="str">
        <f>IF(K127&gt;0,(K127*VLOOKUP(Lookups!$K$11,Lookups!$M$10:$P$43,4,0)/VLOOKUP(L127,Lookups!$M$10:$P$43,4,0)),"")</f>
        <v/>
      </c>
      <c r="N127" s="165"/>
      <c r="O127" s="181"/>
      <c r="P127" s="221" t="str">
        <f>IF(N127&gt;0,(N127*VLOOKUP(Lookups!$K$11,Lookups!$M$10:$P$43,4,0)/VLOOKUP(O127,Lookups!$M$10:$P$43,4,0)),"")</f>
        <v/>
      </c>
      <c r="Q127" s="173" t="s">
        <v>3232</v>
      </c>
      <c r="R127" s="181" t="s">
        <v>154</v>
      </c>
      <c r="S127" s="174" t="s">
        <v>2871</v>
      </c>
      <c r="T127" s="176" t="s">
        <v>923</v>
      </c>
      <c r="U127" s="4" t="s">
        <v>2832</v>
      </c>
    </row>
    <row r="128" spans="1:21" s="54" customFormat="1" ht="60" hidden="1" customHeight="1" outlineLevel="1" x14ac:dyDescent="0.25">
      <c r="A128" s="50" t="s">
        <v>219</v>
      </c>
      <c r="B128" s="50" t="s">
        <v>230</v>
      </c>
      <c r="C128" s="50" t="s">
        <v>2964</v>
      </c>
      <c r="D128" s="50" t="s">
        <v>2874</v>
      </c>
      <c r="E128" s="90" t="s">
        <v>655</v>
      </c>
      <c r="F128" s="90" t="s">
        <v>162</v>
      </c>
      <c r="G128" s="90" t="s">
        <v>2692</v>
      </c>
      <c r="H128" s="193">
        <v>673.98</v>
      </c>
      <c r="I128" s="181" t="s">
        <v>1520</v>
      </c>
      <c r="J128" s="221">
        <f>IF(H128&gt;0,(H128*VLOOKUP(Lookups!$K$11,Lookups!$M$10:$P$43,4,0)/VLOOKUP(I128,Lookups!$M$10:$P$43,4,0)),"")</f>
        <v>694.14751846497757</v>
      </c>
      <c r="K128" s="165"/>
      <c r="L128" s="181"/>
      <c r="M128" s="221" t="str">
        <f>IF(K128&gt;0,(K128*VLOOKUP(Lookups!$K$11,Lookups!$M$10:$P$43,4,0)/VLOOKUP(L128,Lookups!$M$10:$P$43,4,0)),"")</f>
        <v/>
      </c>
      <c r="N128" s="165"/>
      <c r="O128" s="181"/>
      <c r="P128" s="221" t="str">
        <f>IF(N128&gt;0,(N128*VLOOKUP(Lookups!$K$11,Lookups!$M$10:$P$43,4,0)/VLOOKUP(O128,Lookups!$M$10:$P$43,4,0)),"")</f>
        <v/>
      </c>
      <c r="Q128" s="173" t="s">
        <v>3233</v>
      </c>
      <c r="R128" s="181" t="s">
        <v>154</v>
      </c>
      <c r="S128" s="174" t="s">
        <v>2875</v>
      </c>
      <c r="T128" s="176" t="s">
        <v>923</v>
      </c>
      <c r="U128" s="4" t="s">
        <v>2832</v>
      </c>
    </row>
    <row r="129" spans="1:21" s="36" customFormat="1" ht="60" customHeight="1" collapsed="1" x14ac:dyDescent="0.25">
      <c r="A129" s="40" t="s">
        <v>219</v>
      </c>
      <c r="B129" s="40" t="s">
        <v>230</v>
      </c>
      <c r="C129" s="40" t="s">
        <v>963</v>
      </c>
      <c r="D129" s="106" t="s">
        <v>67</v>
      </c>
      <c r="E129" s="12" t="s">
        <v>161</v>
      </c>
      <c r="F129" s="12" t="s">
        <v>162</v>
      </c>
      <c r="G129" s="12" t="s">
        <v>2692</v>
      </c>
      <c r="H129" s="14">
        <v>44</v>
      </c>
      <c r="I129" s="15" t="s">
        <v>258</v>
      </c>
      <c r="J129" s="17">
        <f>IF(H129&gt;0,(H129*VLOOKUP(Lookups!$K$11,Lookups!$M$10:$P$43,4,0)/VLOOKUP(I129,Lookups!$M$10:$P$43,4,0)),"")</f>
        <v>50.902820347277924</v>
      </c>
      <c r="K129" s="14"/>
      <c r="L129" s="15"/>
      <c r="M129" s="17" t="str">
        <f>IF(K129&gt;0,(K129*VLOOKUP(Lookups!$K$11,Lookups!$M$10:$P$43,4,0)/VLOOKUP(L129,Lookups!$M$10:$P$43,4,0)),"")</f>
        <v/>
      </c>
      <c r="N129" s="14"/>
      <c r="O129" s="15"/>
      <c r="P129" s="17" t="str">
        <f>IF(N129&gt;0,(N129*VLOOKUP(Lookups!$K$11,Lookups!$M$10:$P$43,4,0)/VLOOKUP(O129,Lookups!$M$10:$P$43,4,0)),"")</f>
        <v/>
      </c>
      <c r="Q129" s="143" t="s">
        <v>1894</v>
      </c>
      <c r="R129" s="15" t="s">
        <v>152</v>
      </c>
      <c r="S129" s="12" t="s">
        <v>2113</v>
      </c>
      <c r="T129" s="176"/>
      <c r="U129" s="90" t="s">
        <v>2222</v>
      </c>
    </row>
    <row r="130" spans="1:21" s="36" customFormat="1" ht="60" hidden="1" customHeight="1" outlineLevel="1" x14ac:dyDescent="0.25">
      <c r="A130" s="42" t="s">
        <v>219</v>
      </c>
      <c r="B130" s="42" t="s">
        <v>230</v>
      </c>
      <c r="C130" s="42" t="s">
        <v>432</v>
      </c>
      <c r="D130" s="42" t="s">
        <v>68</v>
      </c>
      <c r="E130" s="12" t="s">
        <v>161</v>
      </c>
      <c r="F130" s="12" t="s">
        <v>162</v>
      </c>
      <c r="G130" s="12" t="s">
        <v>2692</v>
      </c>
      <c r="H130" s="14">
        <v>39</v>
      </c>
      <c r="I130" s="15" t="s">
        <v>258</v>
      </c>
      <c r="J130" s="17">
        <f>IF(H130&gt;0,(H130*VLOOKUP(Lookups!$K$11,Lookups!$M$10:$P$43,4,0)/VLOOKUP(I130,Lookups!$M$10:$P$43,4,0)),"")</f>
        <v>45.118408944178157</v>
      </c>
      <c r="K130" s="14"/>
      <c r="L130" s="15"/>
      <c r="M130" s="17" t="str">
        <f>IF(K130&gt;0,(K130*VLOOKUP(Lookups!$K$11,Lookups!$M$10:$P$43,4,0)/VLOOKUP(L130,Lookups!$M$10:$P$43,4,0)),"")</f>
        <v/>
      </c>
      <c r="N130" s="14"/>
      <c r="O130" s="15"/>
      <c r="P130" s="17" t="str">
        <f>IF(N130&gt;0,(N130*VLOOKUP(Lookups!$K$11,Lookups!$M$10:$P$43,4,0)/VLOOKUP(O130,Lookups!$M$10:$P$43,4,0)),"")</f>
        <v/>
      </c>
      <c r="Q130" s="143" t="s">
        <v>1895</v>
      </c>
      <c r="R130" s="15" t="s">
        <v>152</v>
      </c>
      <c r="S130" s="12" t="s">
        <v>2114</v>
      </c>
      <c r="T130" s="176"/>
      <c r="U130" s="90" t="s">
        <v>2222</v>
      </c>
    </row>
    <row r="131" spans="1:21" s="36" customFormat="1" ht="60" hidden="1" customHeight="1" outlineLevel="1" x14ac:dyDescent="0.25">
      <c r="A131" s="42" t="s">
        <v>219</v>
      </c>
      <c r="B131" s="42" t="s">
        <v>230</v>
      </c>
      <c r="C131" s="42" t="s">
        <v>948</v>
      </c>
      <c r="D131" s="42" t="s">
        <v>71</v>
      </c>
      <c r="E131" s="12" t="s">
        <v>161</v>
      </c>
      <c r="F131" s="12" t="s">
        <v>162</v>
      </c>
      <c r="G131" s="12" t="s">
        <v>2692</v>
      </c>
      <c r="H131" s="14">
        <v>40</v>
      </c>
      <c r="I131" s="15" t="s">
        <v>258</v>
      </c>
      <c r="J131" s="17">
        <f>IF(H131&gt;0,(H131*VLOOKUP(Lookups!$K$11,Lookups!$M$10:$P$43,4,0)/VLOOKUP(I131,Lookups!$M$10:$P$43,4,0)),"")</f>
        <v>46.27529122479811</v>
      </c>
      <c r="K131" s="14"/>
      <c r="L131" s="15"/>
      <c r="M131" s="17" t="str">
        <f>IF(K131&gt;0,(K131*VLOOKUP(Lookups!$K$11,Lookups!$M$10:$P$43,4,0)/VLOOKUP(L131,Lookups!$M$10:$P$43,4,0)),"")</f>
        <v/>
      </c>
      <c r="N131" s="14"/>
      <c r="O131" s="15"/>
      <c r="P131" s="17" t="str">
        <f>IF(N131&gt;0,(N131*VLOOKUP(Lookups!$K$11,Lookups!$M$10:$P$43,4,0)/VLOOKUP(O131,Lookups!$M$10:$P$43,4,0)),"")</f>
        <v/>
      </c>
      <c r="Q131" s="143" t="s">
        <v>1896</v>
      </c>
      <c r="R131" s="15" t="s">
        <v>152</v>
      </c>
      <c r="S131" s="12" t="s">
        <v>2115</v>
      </c>
      <c r="T131" s="176"/>
      <c r="U131" s="90" t="s">
        <v>2222</v>
      </c>
    </row>
    <row r="132" spans="1:21" s="36" customFormat="1" ht="60" hidden="1" customHeight="1" outlineLevel="1" x14ac:dyDescent="0.25">
      <c r="A132" s="42" t="s">
        <v>219</v>
      </c>
      <c r="B132" s="42" t="s">
        <v>230</v>
      </c>
      <c r="C132" s="42" t="s">
        <v>949</v>
      </c>
      <c r="D132" s="42" t="s">
        <v>69</v>
      </c>
      <c r="E132" s="12" t="s">
        <v>161</v>
      </c>
      <c r="F132" s="12" t="s">
        <v>162</v>
      </c>
      <c r="G132" s="12" t="s">
        <v>2692</v>
      </c>
      <c r="H132" s="14">
        <v>38</v>
      </c>
      <c r="I132" s="15" t="s">
        <v>258</v>
      </c>
      <c r="J132" s="17">
        <f>IF(H132&gt;0,(H132*VLOOKUP(Lookups!$K$11,Lookups!$M$10:$P$43,4,0)/VLOOKUP(I132,Lookups!$M$10:$P$43,4,0)),"")</f>
        <v>43.961526663558203</v>
      </c>
      <c r="K132" s="14"/>
      <c r="L132" s="15"/>
      <c r="M132" s="17" t="str">
        <f>IF(K132&gt;0,(K132*VLOOKUP(Lookups!$K$11,Lookups!$M$10:$P$43,4,0)/VLOOKUP(L132,Lookups!$M$10:$P$43,4,0)),"")</f>
        <v/>
      </c>
      <c r="N132" s="14"/>
      <c r="O132" s="15"/>
      <c r="P132" s="17" t="str">
        <f>IF(N132&gt;0,(N132*VLOOKUP(Lookups!$K$11,Lookups!$M$10:$P$43,4,0)/VLOOKUP(O132,Lookups!$M$10:$P$43,4,0)),"")</f>
        <v/>
      </c>
      <c r="Q132" s="143" t="s">
        <v>1897</v>
      </c>
      <c r="R132" s="15" t="s">
        <v>152</v>
      </c>
      <c r="S132" s="12" t="s">
        <v>2116</v>
      </c>
      <c r="T132" s="176"/>
      <c r="U132" s="90" t="s">
        <v>2222</v>
      </c>
    </row>
    <row r="133" spans="1:21" s="56" customFormat="1" ht="60" hidden="1" customHeight="1" outlineLevel="1" x14ac:dyDescent="0.25">
      <c r="A133" s="42" t="s">
        <v>219</v>
      </c>
      <c r="B133" s="42" t="s">
        <v>230</v>
      </c>
      <c r="C133" s="42" t="s">
        <v>950</v>
      </c>
      <c r="D133" s="42" t="s">
        <v>136</v>
      </c>
      <c r="E133" s="160" t="s">
        <v>26</v>
      </c>
      <c r="F133" s="160" t="s">
        <v>162</v>
      </c>
      <c r="G133" s="160" t="s">
        <v>2692</v>
      </c>
      <c r="H133" s="172">
        <v>238.94</v>
      </c>
      <c r="I133" s="15" t="s">
        <v>261</v>
      </c>
      <c r="J133" s="17">
        <f>IF(H133&gt;0,(H133*VLOOKUP(Lookups!$K$11,Lookups!$M$10:$P$43,4,0)/VLOOKUP(I133,Lookups!$M$10:$P$43,4,0)),"")</f>
        <v>260.45172494308684</v>
      </c>
      <c r="K133" s="161"/>
      <c r="L133" s="15"/>
      <c r="M133" s="17" t="str">
        <f>IF(K133&gt;0,(K133*VLOOKUP(Lookups!$K$11,Lookups!$M$10:$P$43,4,0)/VLOOKUP(L133,Lookups!$M$10:$P$43,4,0)),"")</f>
        <v/>
      </c>
      <c r="N133" s="161"/>
      <c r="O133" s="15"/>
      <c r="P133" s="17" t="str">
        <f>IF(N133&gt;0,(N133*VLOOKUP(Lookups!$K$11,Lookups!$M$10:$P$43,4,0)/VLOOKUP(O133,Lookups!$M$10:$P$43,4,0)),"")</f>
        <v/>
      </c>
      <c r="Q133" s="143" t="s">
        <v>2441</v>
      </c>
      <c r="R133" s="15" t="s">
        <v>154</v>
      </c>
      <c r="S133" s="160" t="s">
        <v>2442</v>
      </c>
      <c r="T133" s="176" t="s">
        <v>923</v>
      </c>
      <c r="U133" s="90" t="s">
        <v>2876</v>
      </c>
    </row>
    <row r="134" spans="1:21" s="54" customFormat="1" ht="60" customHeight="1" collapsed="1" x14ac:dyDescent="0.25">
      <c r="A134" s="40" t="s">
        <v>219</v>
      </c>
      <c r="B134" s="40" t="s">
        <v>38</v>
      </c>
      <c r="C134" s="40" t="s">
        <v>964</v>
      </c>
      <c r="D134" s="40" t="s">
        <v>439</v>
      </c>
      <c r="E134" s="12" t="s">
        <v>161</v>
      </c>
      <c r="F134" s="12" t="s">
        <v>162</v>
      </c>
      <c r="G134" s="12" t="s">
        <v>2692</v>
      </c>
      <c r="H134" s="14">
        <v>50</v>
      </c>
      <c r="I134" s="15" t="s">
        <v>255</v>
      </c>
      <c r="J134" s="17">
        <f>IF(H134&gt;0,(H134*VLOOKUP(Lookups!$K$11,Lookups!$M$10:$P$43,4,0)/VLOOKUP(I134,Lookups!$M$10:$P$43,4,0)),"")</f>
        <v>60.190169187884543</v>
      </c>
      <c r="K134" s="14"/>
      <c r="L134" s="15"/>
      <c r="M134" s="17" t="str">
        <f>IF(K134&gt;0,(K134*VLOOKUP(Lookups!$K$11,Lookups!$M$10:$P$43,4,0)/VLOOKUP(L134,Lookups!$M$10:$P$43,4,0)),"")</f>
        <v/>
      </c>
      <c r="N134" s="14"/>
      <c r="O134" s="15"/>
      <c r="P134" s="17" t="str">
        <f>IF(N134&gt;0,(N134*VLOOKUP(Lookups!$K$11,Lookups!$M$10:$P$43,4,0)/VLOOKUP(O134,Lookups!$M$10:$P$43,4,0)),"")</f>
        <v/>
      </c>
      <c r="Q134" s="173" t="s">
        <v>1237</v>
      </c>
      <c r="R134" s="15" t="s">
        <v>152</v>
      </c>
      <c r="S134" s="12" t="s">
        <v>1193</v>
      </c>
      <c r="T134" s="176"/>
      <c r="U134" s="90" t="s">
        <v>2222</v>
      </c>
    </row>
    <row r="135" spans="1:21" s="54" customFormat="1" ht="60" hidden="1" customHeight="1" outlineLevel="1" x14ac:dyDescent="0.25">
      <c r="A135" s="42" t="s">
        <v>219</v>
      </c>
      <c r="B135" s="42" t="s">
        <v>38</v>
      </c>
      <c r="C135" s="42" t="s">
        <v>433</v>
      </c>
      <c r="D135" s="42" t="s">
        <v>134</v>
      </c>
      <c r="E135" s="12" t="s">
        <v>656</v>
      </c>
      <c r="F135" s="12" t="s">
        <v>162</v>
      </c>
      <c r="G135" s="12" t="s">
        <v>2692</v>
      </c>
      <c r="H135" s="14">
        <v>280</v>
      </c>
      <c r="I135" s="15" t="s">
        <v>258</v>
      </c>
      <c r="J135" s="17">
        <f>IF(H135&gt;0,(H135*VLOOKUP(Lookups!$K$11,Lookups!$M$10:$P$43,4,0)/VLOOKUP(I135,Lookups!$M$10:$P$43,4,0)),"")</f>
        <v>323.9270385735868</v>
      </c>
      <c r="K135" s="14"/>
      <c r="L135" s="15"/>
      <c r="M135" s="17" t="str">
        <f>IF(K135&gt;0,(K135*VLOOKUP(Lookups!$K$11,Lookups!$M$10:$P$43,4,0)/VLOOKUP(L135,Lookups!$M$10:$P$43,4,0)),"")</f>
        <v/>
      </c>
      <c r="N135" s="14"/>
      <c r="O135" s="15"/>
      <c r="P135" s="17" t="str">
        <f>IF(N135&gt;0,(N135*VLOOKUP(Lookups!$K$11,Lookups!$M$10:$P$43,4,0)/VLOOKUP(O135,Lookups!$M$10:$P$43,4,0)),"")</f>
        <v/>
      </c>
      <c r="Q135" s="173" t="s">
        <v>1901</v>
      </c>
      <c r="R135" s="15" t="s">
        <v>152</v>
      </c>
      <c r="S135" s="12" t="s">
        <v>1902</v>
      </c>
      <c r="T135" s="176"/>
      <c r="U135" s="90" t="s">
        <v>2222</v>
      </c>
    </row>
    <row r="136" spans="1:21" s="36" customFormat="1" ht="60" customHeight="1" x14ac:dyDescent="0.25">
      <c r="A136" s="38" t="s">
        <v>219</v>
      </c>
      <c r="B136" s="38" t="s">
        <v>2293</v>
      </c>
      <c r="C136" s="38" t="s">
        <v>965</v>
      </c>
      <c r="D136" s="38" t="s">
        <v>2343</v>
      </c>
      <c r="E136" s="12" t="s">
        <v>626</v>
      </c>
      <c r="F136" s="12" t="s">
        <v>212</v>
      </c>
      <c r="G136" s="12"/>
      <c r="H136" s="14"/>
      <c r="I136" s="15"/>
      <c r="J136" s="17" t="str">
        <f>IF(H136&gt;0,(H136*VLOOKUP(Lookups!$K$11,Lookups!$M$10:$P$43,4,0)/VLOOKUP(I136,Lookups!$M$10:$P$43,4,0)),"")</f>
        <v/>
      </c>
      <c r="K136" s="14"/>
      <c r="L136" s="15"/>
      <c r="M136" s="17" t="str">
        <f>IF(K136&gt;0,(K136*VLOOKUP(Lookups!$K$11,Lookups!$M$10:$P$43,4,0)/VLOOKUP(L136,Lookups!$M$10:$P$43,4,0)),"")</f>
        <v/>
      </c>
      <c r="N136" s="14">
        <v>13000</v>
      </c>
      <c r="O136" s="15" t="s">
        <v>261</v>
      </c>
      <c r="P136" s="17">
        <f>IF(N136&gt;0,(N136*VLOOKUP(Lookups!$K$11,Lookups!$M$10:$P$43,4,0)/VLOOKUP(O136,Lookups!$M$10:$P$43,4,0)),"")</f>
        <v>14170.38764652268</v>
      </c>
      <c r="Q136" s="143" t="s">
        <v>2356</v>
      </c>
      <c r="R136" s="15" t="s">
        <v>154</v>
      </c>
      <c r="S136" s="140" t="s">
        <v>2344</v>
      </c>
      <c r="T136" s="176" t="s">
        <v>922</v>
      </c>
      <c r="U136" s="4" t="s">
        <v>2294</v>
      </c>
    </row>
    <row r="137" spans="1:21" s="54" customFormat="1" ht="60" customHeight="1" collapsed="1" x14ac:dyDescent="0.25">
      <c r="A137" s="39" t="s">
        <v>219</v>
      </c>
      <c r="B137" s="39" t="s">
        <v>232</v>
      </c>
      <c r="C137" s="39" t="s">
        <v>2030</v>
      </c>
      <c r="D137" s="39" t="s">
        <v>2746</v>
      </c>
      <c r="E137" s="4" t="s">
        <v>161</v>
      </c>
      <c r="F137" s="4" t="s">
        <v>162</v>
      </c>
      <c r="G137" s="4" t="s">
        <v>685</v>
      </c>
      <c r="H137" s="193">
        <v>132</v>
      </c>
      <c r="I137" s="181" t="s">
        <v>1520</v>
      </c>
      <c r="J137" s="221">
        <f>IF(H137&gt;0,(H137*VLOOKUP(Lookups!$K$11,Lookups!$M$10:$P$43,4,0)/VLOOKUP(I137,Lookups!$M$10:$P$43,4,0)),"")</f>
        <v>135.9498389230794</v>
      </c>
      <c r="K137" s="11"/>
      <c r="L137" s="181"/>
      <c r="M137" s="221" t="str">
        <f>IF(K137&gt;0,(K137*VLOOKUP(Lookups!$K$11,Lookups!$M$10:$P$43,4,0)/VLOOKUP(L137,Lookups!$M$10:$P$43,4,0)),"")</f>
        <v/>
      </c>
      <c r="N137" s="11"/>
      <c r="O137" s="181"/>
      <c r="P137" s="221" t="str">
        <f>IF(N137&gt;0,(N137*VLOOKUP(Lookups!$K$11,Lookups!$M$10:$P$43,4,0)/VLOOKUP(O137,Lookups!$M$10:$P$43,4,0)),"")</f>
        <v/>
      </c>
      <c r="Q137" s="173" t="s">
        <v>2427</v>
      </c>
      <c r="R137" s="181" t="s">
        <v>154</v>
      </c>
      <c r="S137" s="174" t="s">
        <v>2747</v>
      </c>
      <c r="T137" s="176" t="s">
        <v>923</v>
      </c>
      <c r="U137" s="90" t="s">
        <v>2407</v>
      </c>
    </row>
    <row r="138" spans="1:21" s="54" customFormat="1" ht="60" hidden="1" customHeight="1" outlineLevel="1" x14ac:dyDescent="0.25">
      <c r="A138" s="50" t="s">
        <v>219</v>
      </c>
      <c r="B138" s="50" t="s">
        <v>232</v>
      </c>
      <c r="C138" s="50" t="s">
        <v>2031</v>
      </c>
      <c r="D138" s="50" t="s">
        <v>2748</v>
      </c>
      <c r="E138" s="4" t="s">
        <v>674</v>
      </c>
      <c r="F138" s="4" t="s">
        <v>162</v>
      </c>
      <c r="G138" s="4" t="s">
        <v>685</v>
      </c>
      <c r="H138" s="193">
        <v>33</v>
      </c>
      <c r="I138" s="181" t="s">
        <v>1520</v>
      </c>
      <c r="J138" s="221">
        <f>IF(H138&gt;0,(H138*VLOOKUP(Lookups!$K$11,Lookups!$M$10:$P$43,4,0)/VLOOKUP(I138,Lookups!$M$10:$P$43,4,0)),"")</f>
        <v>33.987459730769849</v>
      </c>
      <c r="K138" s="11"/>
      <c r="L138" s="181"/>
      <c r="M138" s="221" t="str">
        <f>IF(K138&gt;0,(K138*VLOOKUP(Lookups!$K$11,Lookups!$M$10:$P$43,4,0)/VLOOKUP(L138,Lookups!$M$10:$P$43,4,0)),"")</f>
        <v/>
      </c>
      <c r="N138" s="11"/>
      <c r="O138" s="181"/>
      <c r="P138" s="221" t="str">
        <f>IF(N138&gt;0,(N138*VLOOKUP(Lookups!$K$11,Lookups!$M$10:$P$43,4,0)/VLOOKUP(O138,Lookups!$M$10:$P$43,4,0)),"")</f>
        <v/>
      </c>
      <c r="Q138" s="173" t="s">
        <v>2427</v>
      </c>
      <c r="R138" s="181" t="s">
        <v>154</v>
      </c>
      <c r="S138" s="174" t="s">
        <v>2749</v>
      </c>
      <c r="T138" s="176" t="s">
        <v>923</v>
      </c>
      <c r="U138" s="90" t="s">
        <v>2407</v>
      </c>
    </row>
    <row r="139" spans="1:21" s="54" customFormat="1" ht="60" hidden="1" customHeight="1" outlineLevel="1" x14ac:dyDescent="0.25">
      <c r="A139" s="42" t="s">
        <v>219</v>
      </c>
      <c r="B139" s="42" t="s">
        <v>232</v>
      </c>
      <c r="C139" s="42" t="s">
        <v>2032</v>
      </c>
      <c r="D139" s="42" t="s">
        <v>440</v>
      </c>
      <c r="E139" s="12" t="s">
        <v>674</v>
      </c>
      <c r="F139" s="12" t="s">
        <v>162</v>
      </c>
      <c r="G139" s="12" t="s">
        <v>685</v>
      </c>
      <c r="H139" s="11">
        <v>22</v>
      </c>
      <c r="I139" s="15" t="s">
        <v>256</v>
      </c>
      <c r="J139" s="17">
        <f>IF(H139&gt;0,(H139*VLOOKUP(Lookups!$K$11,Lookups!$M$10:$P$43,4,0)/VLOOKUP(I139,Lookups!$M$10:$P$43,4,0)),"")</f>
        <v>26.18203956474726</v>
      </c>
      <c r="K139" s="14"/>
      <c r="L139" s="15"/>
      <c r="M139" s="17" t="str">
        <f>IF(K139&gt;0,(K139*VLOOKUP(Lookups!$K$11,Lookups!$M$10:$P$43,4,0)/VLOOKUP(L139,Lookups!$M$10:$P$43,4,0)),"")</f>
        <v/>
      </c>
      <c r="N139" s="14"/>
      <c r="O139" s="15"/>
      <c r="P139" s="17" t="str">
        <f>IF(N139&gt;0,(N139*VLOOKUP(Lookups!$K$11,Lookups!$M$10:$P$43,4,0)/VLOOKUP(O139,Lookups!$M$10:$P$43,4,0)),"")</f>
        <v/>
      </c>
      <c r="Q139" s="143" t="s">
        <v>1236</v>
      </c>
      <c r="R139" s="15" t="s">
        <v>152</v>
      </c>
      <c r="S139" s="12" t="s">
        <v>73</v>
      </c>
      <c r="T139" s="176"/>
      <c r="U139" s="90" t="s">
        <v>2222</v>
      </c>
    </row>
    <row r="140" spans="1:21" s="36" customFormat="1" ht="60" hidden="1" customHeight="1" outlineLevel="1" x14ac:dyDescent="0.25">
      <c r="A140" s="42" t="s">
        <v>219</v>
      </c>
      <c r="B140" s="42" t="s">
        <v>232</v>
      </c>
      <c r="C140" s="42" t="s">
        <v>2965</v>
      </c>
      <c r="D140" s="42" t="s">
        <v>441</v>
      </c>
      <c r="E140" s="12" t="s">
        <v>156</v>
      </c>
      <c r="F140" s="12" t="s">
        <v>162</v>
      </c>
      <c r="G140" s="12" t="s">
        <v>685</v>
      </c>
      <c r="H140" s="14">
        <v>95</v>
      </c>
      <c r="I140" s="15" t="s">
        <v>254</v>
      </c>
      <c r="J140" s="17">
        <f>IF(H140&gt;0,(H140*VLOOKUP(Lookups!$K$11,Lookups!$M$10:$P$43,4,0)/VLOOKUP(I140,Lookups!$M$10:$P$43,4,0)),"")</f>
        <v>116.98084910494357</v>
      </c>
      <c r="K140" s="14"/>
      <c r="L140" s="15"/>
      <c r="M140" s="17" t="str">
        <f>IF(K140&gt;0,(K140*VLOOKUP(Lookups!$K$11,Lookups!$M$10:$P$43,4,0)/VLOOKUP(L140,Lookups!$M$10:$P$43,4,0)),"")</f>
        <v/>
      </c>
      <c r="N140" s="14"/>
      <c r="O140" s="15"/>
      <c r="P140" s="17" t="str">
        <f>IF(N140&gt;0,(N140*VLOOKUP(Lookups!$K$11,Lookups!$M$10:$P$43,4,0)/VLOOKUP(O140,Lookups!$M$10:$P$43,4,0)),"")</f>
        <v/>
      </c>
      <c r="Q140" s="143" t="s">
        <v>1235</v>
      </c>
      <c r="R140" s="15" t="s">
        <v>149</v>
      </c>
      <c r="S140" s="12" t="s">
        <v>2111</v>
      </c>
      <c r="T140" s="176"/>
      <c r="U140" s="90" t="s">
        <v>2222</v>
      </c>
    </row>
    <row r="141" spans="1:21" s="53" customFormat="1" ht="60" hidden="1" customHeight="1" outlineLevel="1" x14ac:dyDescent="0.25">
      <c r="A141" s="50" t="s">
        <v>219</v>
      </c>
      <c r="B141" s="50" t="s">
        <v>232</v>
      </c>
      <c r="C141" s="50" t="s">
        <v>2966</v>
      </c>
      <c r="D141" s="50" t="s">
        <v>2750</v>
      </c>
      <c r="E141" s="4" t="s">
        <v>167</v>
      </c>
      <c r="F141" s="4" t="s">
        <v>162</v>
      </c>
      <c r="G141" s="4" t="s">
        <v>685</v>
      </c>
      <c r="H141" s="193">
        <v>236089</v>
      </c>
      <c r="I141" s="181" t="s">
        <v>1520</v>
      </c>
      <c r="J141" s="221">
        <f>IF(H141&gt;0,(H141*VLOOKUP(Lookups!$K$11,Lookups!$M$10:$P$43,4,0)/VLOOKUP(I141,Lookups!$M$10:$P$43,4,0)),"")</f>
        <v>243153.49637508253</v>
      </c>
      <c r="K141" s="11"/>
      <c r="L141" s="181"/>
      <c r="M141" s="221" t="str">
        <f>IF(K141&gt;0,(K141*VLOOKUP(Lookups!$K$11,Lookups!$M$10:$P$43,4,0)/VLOOKUP(L141,Lookups!$M$10:$P$43,4,0)),"")</f>
        <v/>
      </c>
      <c r="N141" s="11"/>
      <c r="O141" s="181"/>
      <c r="P141" s="221" t="str">
        <f>IF(N141&gt;0,(N141*VLOOKUP(Lookups!$K$11,Lookups!$M$10:$P$43,4,0)/VLOOKUP(O141,Lookups!$M$10:$P$43,4,0)),"")</f>
        <v/>
      </c>
      <c r="Q141" s="173" t="s">
        <v>2427</v>
      </c>
      <c r="R141" s="181" t="s">
        <v>154</v>
      </c>
      <c r="S141" s="174" t="s">
        <v>2751</v>
      </c>
      <c r="T141" s="176" t="s">
        <v>923</v>
      </c>
      <c r="U141" s="90" t="s">
        <v>2407</v>
      </c>
    </row>
    <row r="142" spans="1:21" s="36" customFormat="1" ht="60" hidden="1" customHeight="1" outlineLevel="1" x14ac:dyDescent="0.25">
      <c r="A142" s="42" t="s">
        <v>219</v>
      </c>
      <c r="B142" s="42" t="s">
        <v>232</v>
      </c>
      <c r="C142" s="42" t="s">
        <v>2967</v>
      </c>
      <c r="D142" s="42" t="s">
        <v>2760</v>
      </c>
      <c r="E142" s="12" t="s">
        <v>148</v>
      </c>
      <c r="F142" s="12" t="s">
        <v>162</v>
      </c>
      <c r="G142" s="12" t="s">
        <v>2692</v>
      </c>
      <c r="H142" s="193">
        <v>15.32</v>
      </c>
      <c r="I142" s="15" t="s">
        <v>261</v>
      </c>
      <c r="J142" s="17">
        <f>IF(H142&gt;0,(H142*VLOOKUP(Lookups!$K$11,Lookups!$M$10:$P$43,4,0)/VLOOKUP(I142,Lookups!$M$10:$P$43,4,0)),"")</f>
        <v>16.699256826517495</v>
      </c>
      <c r="K142" s="14"/>
      <c r="L142" s="15"/>
      <c r="M142" s="17" t="str">
        <f>IF(K142&gt;0,(K142*VLOOKUP(Lookups!$K$11,Lookups!$M$10:$P$43,4,0)/VLOOKUP(L142,Lookups!$M$10:$P$43,4,0)),"")</f>
        <v/>
      </c>
      <c r="N142" s="14"/>
      <c r="O142" s="15"/>
      <c r="P142" s="17" t="str">
        <f>IF(N142&gt;0,(N142*VLOOKUP(Lookups!$K$11,Lookups!$M$10:$P$43,4,0)/VLOOKUP(O142,Lookups!$M$10:$P$43,4,0)),"")</f>
        <v/>
      </c>
      <c r="Q142" s="173" t="s">
        <v>2752</v>
      </c>
      <c r="R142" s="15" t="s">
        <v>154</v>
      </c>
      <c r="S142" s="194" t="s">
        <v>2758</v>
      </c>
      <c r="T142" s="176" t="s">
        <v>923</v>
      </c>
      <c r="U142" s="90" t="s">
        <v>2753</v>
      </c>
    </row>
    <row r="143" spans="1:21" s="53" customFormat="1" ht="60" hidden="1" customHeight="1" outlineLevel="1" x14ac:dyDescent="0.25">
      <c r="A143" s="42" t="s">
        <v>219</v>
      </c>
      <c r="B143" s="42" t="s">
        <v>232</v>
      </c>
      <c r="C143" s="42" t="s">
        <v>2968</v>
      </c>
      <c r="D143" s="42" t="s">
        <v>442</v>
      </c>
      <c r="E143" s="4" t="s">
        <v>674</v>
      </c>
      <c r="F143" s="4" t="s">
        <v>162</v>
      </c>
      <c r="G143" s="4" t="s">
        <v>685</v>
      </c>
      <c r="H143" s="193">
        <v>30.9</v>
      </c>
      <c r="I143" s="181" t="s">
        <v>1520</v>
      </c>
      <c r="J143" s="221">
        <f>IF(H143&gt;0,(H143*VLOOKUP(Lookups!$K$11,Lookups!$M$10:$P$43,4,0)/VLOOKUP(I143,Lookups!$M$10:$P$43,4,0)),"")</f>
        <v>31.824621384266308</v>
      </c>
      <c r="K143" s="11"/>
      <c r="L143" s="181"/>
      <c r="M143" s="221" t="str">
        <f>IF(K143&gt;0,(K143*VLOOKUP(Lookups!$K$11,Lookups!$M$10:$P$43,4,0)/VLOOKUP(L143,Lookups!$M$10:$P$43,4,0)),"")</f>
        <v/>
      </c>
      <c r="N143" s="11"/>
      <c r="O143" s="181"/>
      <c r="P143" s="221" t="str">
        <f>IF(N143&gt;0,(N143*VLOOKUP(Lookups!$K$11,Lookups!$M$10:$P$43,4,0)/VLOOKUP(O143,Lookups!$M$10:$P$43,4,0)),"")</f>
        <v/>
      </c>
      <c r="Q143" s="173" t="s">
        <v>2427</v>
      </c>
      <c r="R143" s="181" t="s">
        <v>154</v>
      </c>
      <c r="S143" s="174" t="s">
        <v>2754</v>
      </c>
      <c r="T143" s="176" t="s">
        <v>923</v>
      </c>
      <c r="U143" s="90" t="s">
        <v>2407</v>
      </c>
    </row>
    <row r="144" spans="1:21" s="54" customFormat="1" ht="60" customHeight="1" collapsed="1" x14ac:dyDescent="0.25">
      <c r="A144" s="39" t="s">
        <v>219</v>
      </c>
      <c r="B144" s="39" t="s">
        <v>232</v>
      </c>
      <c r="C144" s="39" t="s">
        <v>756</v>
      </c>
      <c r="D144" s="39" t="s">
        <v>2755</v>
      </c>
      <c r="E144" s="4" t="s">
        <v>161</v>
      </c>
      <c r="F144" s="4" t="s">
        <v>162</v>
      </c>
      <c r="G144" s="4" t="s">
        <v>2692</v>
      </c>
      <c r="H144" s="193">
        <v>42</v>
      </c>
      <c r="I144" s="181" t="s">
        <v>1520</v>
      </c>
      <c r="J144" s="221">
        <f>IF(H144&gt;0,(H144*VLOOKUP(Lookups!$K$11,Lookups!$M$10:$P$43,4,0)/VLOOKUP(I144,Lookups!$M$10:$P$43,4,0)),"")</f>
        <v>43.256766930070711</v>
      </c>
      <c r="K144" s="11"/>
      <c r="L144" s="181"/>
      <c r="M144" s="221" t="str">
        <f>IF(K144&gt;0,(K144*VLOOKUP(Lookups!$K$11,Lookups!$M$10:$P$43,4,0)/VLOOKUP(L144,Lookups!$M$10:$P$43,4,0)),"")</f>
        <v/>
      </c>
      <c r="N144" s="11"/>
      <c r="O144" s="181"/>
      <c r="P144" s="221" t="str">
        <f>IF(N144&gt;0,(N144*VLOOKUP(Lookups!$K$11,Lookups!$M$10:$P$43,4,0)/VLOOKUP(O144,Lookups!$M$10:$P$43,4,0)),"")</f>
        <v/>
      </c>
      <c r="Q144" s="173" t="s">
        <v>2428</v>
      </c>
      <c r="R144" s="181" t="s">
        <v>154</v>
      </c>
      <c r="S144" s="174" t="s">
        <v>2756</v>
      </c>
      <c r="T144" s="176" t="s">
        <v>923</v>
      </c>
      <c r="U144" s="90" t="s">
        <v>2407</v>
      </c>
    </row>
    <row r="145" spans="1:21" s="36" customFormat="1" ht="60" hidden="1" customHeight="1" outlineLevel="1" x14ac:dyDescent="0.25">
      <c r="A145" s="42" t="s">
        <v>219</v>
      </c>
      <c r="B145" s="42" t="s">
        <v>232</v>
      </c>
      <c r="C145" s="42" t="s">
        <v>434</v>
      </c>
      <c r="D145" s="42" t="s">
        <v>2761</v>
      </c>
      <c r="E145" s="12" t="s">
        <v>148</v>
      </c>
      <c r="F145" s="12" t="s">
        <v>162</v>
      </c>
      <c r="G145" s="12" t="s">
        <v>2692</v>
      </c>
      <c r="H145" s="172">
        <v>7.62</v>
      </c>
      <c r="I145" s="15" t="s">
        <v>261</v>
      </c>
      <c r="J145" s="17">
        <f>IF(H145&gt;0,(H145*VLOOKUP(Lookups!$K$11,Lookups!$M$10:$P$43,4,0)/VLOOKUP(I145,Lookups!$M$10:$P$43,4,0)),"")</f>
        <v>8.3060272205002157</v>
      </c>
      <c r="K145" s="14"/>
      <c r="L145" s="15"/>
      <c r="M145" s="17" t="str">
        <f>IF(K145&gt;0,(K145*VLOOKUP(Lookups!$K$11,Lookups!$M$10:$P$43,4,0)/VLOOKUP(L145,Lookups!$M$10:$P$43,4,0)),"")</f>
        <v/>
      </c>
      <c r="N145" s="14"/>
      <c r="O145" s="15"/>
      <c r="P145" s="17" t="str">
        <f>IF(N145&gt;0,(N145*VLOOKUP(Lookups!$K$11,Lookups!$M$10:$P$43,4,0)/VLOOKUP(O145,Lookups!$M$10:$P$43,4,0)),"")</f>
        <v/>
      </c>
      <c r="Q145" s="173" t="s">
        <v>2757</v>
      </c>
      <c r="R145" s="15" t="s">
        <v>154</v>
      </c>
      <c r="S145" s="194" t="s">
        <v>2759</v>
      </c>
      <c r="T145" s="176" t="s">
        <v>923</v>
      </c>
      <c r="U145" s="90" t="s">
        <v>2753</v>
      </c>
    </row>
    <row r="146" spans="1:21" s="225" customFormat="1" ht="60" hidden="1" customHeight="1" outlineLevel="1" x14ac:dyDescent="0.25">
      <c r="A146" s="42" t="s">
        <v>219</v>
      </c>
      <c r="B146" s="42" t="s">
        <v>232</v>
      </c>
      <c r="C146" s="42" t="s">
        <v>951</v>
      </c>
      <c r="D146" s="42" t="s">
        <v>2789</v>
      </c>
      <c r="E146" s="4" t="s">
        <v>674</v>
      </c>
      <c r="F146" s="4" t="s">
        <v>162</v>
      </c>
      <c r="G146" s="4" t="s">
        <v>685</v>
      </c>
      <c r="H146" s="11">
        <v>50.72</v>
      </c>
      <c r="I146" s="181" t="s">
        <v>1520</v>
      </c>
      <c r="J146" s="221">
        <f>IF(H146&gt;0,(H146*VLOOKUP(Lookups!$K$11,Lookups!$M$10:$P$43,4,0)/VLOOKUP(I146,Lookups!$M$10:$P$43,4,0)),"")</f>
        <v>52.237695683171111</v>
      </c>
      <c r="K146" s="11"/>
      <c r="L146" s="181"/>
      <c r="M146" s="221" t="str">
        <f>IF(K146&gt;0,(K146*VLOOKUP(Lookups!$K$11,Lookups!$M$10:$P$43,4,0)/VLOOKUP(L146,Lookups!$M$10:$P$43,4,0)),"")</f>
        <v/>
      </c>
      <c r="N146" s="11"/>
      <c r="O146" s="181"/>
      <c r="P146" s="221" t="str">
        <f>IF(N146&gt;0,(N146*VLOOKUP(Lookups!$K$11,Lookups!$M$10:$P$43,4,0)/VLOOKUP(O146,Lookups!$M$10:$P$43,4,0)),"")</f>
        <v/>
      </c>
      <c r="Q146" s="143" t="s">
        <v>2440</v>
      </c>
      <c r="R146" s="181" t="s">
        <v>154</v>
      </c>
      <c r="S146" s="4" t="s">
        <v>2788</v>
      </c>
      <c r="T146" s="176" t="s">
        <v>922</v>
      </c>
      <c r="U146" s="4" t="s">
        <v>2787</v>
      </c>
    </row>
    <row r="147" spans="1:21" s="54" customFormat="1" ht="60" customHeight="1" collapsed="1" x14ac:dyDescent="0.25">
      <c r="A147" s="39" t="s">
        <v>219</v>
      </c>
      <c r="B147" s="39" t="s">
        <v>236</v>
      </c>
      <c r="C147" s="39" t="s">
        <v>757</v>
      </c>
      <c r="D147" s="39" t="s">
        <v>2763</v>
      </c>
      <c r="E147" s="4" t="s">
        <v>161</v>
      </c>
      <c r="F147" s="4" t="s">
        <v>162</v>
      </c>
      <c r="G147" s="4" t="s">
        <v>2692</v>
      </c>
      <c r="H147" s="193">
        <v>41</v>
      </c>
      <c r="I147" s="181" t="s">
        <v>1520</v>
      </c>
      <c r="J147" s="221">
        <f>IF(H147&gt;0,(H147*VLOOKUP(Lookups!$K$11,Lookups!$M$10:$P$43,4,0)/VLOOKUP(I147,Lookups!$M$10:$P$43,4,0)),"")</f>
        <v>42.226843907926174</v>
      </c>
      <c r="K147" s="11"/>
      <c r="L147" s="181"/>
      <c r="M147" s="221" t="str">
        <f>IF(K147&gt;0,(K147*VLOOKUP(Lookups!$K$11,Lookups!$M$10:$P$43,4,0)/VLOOKUP(L147,Lookups!$M$10:$P$43,4,0)),"")</f>
        <v/>
      </c>
      <c r="N147" s="11"/>
      <c r="O147" s="181"/>
      <c r="P147" s="221" t="str">
        <f>IF(N147&gt;0,(N147*VLOOKUP(Lookups!$K$11,Lookups!$M$10:$P$43,4,0)/VLOOKUP(O147,Lookups!$M$10:$P$43,4,0)),"")</f>
        <v/>
      </c>
      <c r="Q147" s="173" t="s">
        <v>2764</v>
      </c>
      <c r="R147" s="181" t="s">
        <v>154</v>
      </c>
      <c r="S147" s="174" t="s">
        <v>2765</v>
      </c>
      <c r="T147" s="176" t="s">
        <v>923</v>
      </c>
      <c r="U147" s="90" t="s">
        <v>2407</v>
      </c>
    </row>
    <row r="148" spans="1:21" s="54" customFormat="1" ht="60" hidden="1" customHeight="1" outlineLevel="1" x14ac:dyDescent="0.25">
      <c r="A148" s="42" t="s">
        <v>219</v>
      </c>
      <c r="B148" s="42" t="s">
        <v>236</v>
      </c>
      <c r="C148" s="42" t="s">
        <v>2246</v>
      </c>
      <c r="D148" s="42" t="s">
        <v>2766</v>
      </c>
      <c r="E148" s="4" t="s">
        <v>161</v>
      </c>
      <c r="F148" s="4" t="s">
        <v>162</v>
      </c>
      <c r="G148" s="4" t="s">
        <v>2692</v>
      </c>
      <c r="H148" s="193">
        <v>35</v>
      </c>
      <c r="I148" s="181" t="s">
        <v>1520</v>
      </c>
      <c r="J148" s="221">
        <f>IF(H148&gt;0,(H148*VLOOKUP(Lookups!$K$11,Lookups!$M$10:$P$43,4,0)/VLOOKUP(I148,Lookups!$M$10:$P$43,4,0)),"")</f>
        <v>36.047305775058931</v>
      </c>
      <c r="K148" s="11"/>
      <c r="L148" s="181"/>
      <c r="M148" s="221" t="str">
        <f>IF(K148&gt;0,(K148*VLOOKUP(Lookups!$K$11,Lookups!$M$10:$P$43,4,0)/VLOOKUP(L148,Lookups!$M$10:$P$43,4,0)),"")</f>
        <v/>
      </c>
      <c r="N148" s="11"/>
      <c r="O148" s="181"/>
      <c r="P148" s="221" t="str">
        <f>IF(N148&gt;0,(N148*VLOOKUP(Lookups!$K$11,Lookups!$M$10:$P$43,4,0)/VLOOKUP(O148,Lookups!$M$10:$P$43,4,0)),"")</f>
        <v/>
      </c>
      <c r="Q148" s="173" t="s">
        <v>2764</v>
      </c>
      <c r="R148" s="181" t="s">
        <v>154</v>
      </c>
      <c r="S148" s="174" t="s">
        <v>2767</v>
      </c>
      <c r="T148" s="176" t="s">
        <v>923</v>
      </c>
      <c r="U148" s="90" t="s">
        <v>2407</v>
      </c>
    </row>
    <row r="149" spans="1:21" s="54" customFormat="1" ht="60" hidden="1" customHeight="1" outlineLevel="1" x14ac:dyDescent="0.25">
      <c r="A149" s="42" t="s">
        <v>219</v>
      </c>
      <c r="B149" s="42" t="s">
        <v>236</v>
      </c>
      <c r="C149" s="42" t="s">
        <v>2969</v>
      </c>
      <c r="D149" s="42" t="s">
        <v>2768</v>
      </c>
      <c r="E149" s="4" t="s">
        <v>161</v>
      </c>
      <c r="F149" s="4" t="s">
        <v>162</v>
      </c>
      <c r="G149" s="4" t="s">
        <v>2692</v>
      </c>
      <c r="H149" s="193">
        <v>54</v>
      </c>
      <c r="I149" s="181" t="s">
        <v>1520</v>
      </c>
      <c r="J149" s="221">
        <f>IF(H149&gt;0,(H149*VLOOKUP(Lookups!$K$11,Lookups!$M$10:$P$43,4,0)/VLOOKUP(I149,Lookups!$M$10:$P$43,4,0)),"")</f>
        <v>55.615843195805205</v>
      </c>
      <c r="K149" s="11"/>
      <c r="L149" s="181"/>
      <c r="M149" s="221" t="str">
        <f>IF(K149&gt;0,(K149*VLOOKUP(Lookups!$K$11,Lookups!$M$10:$P$43,4,0)/VLOOKUP(L149,Lookups!$M$10:$P$43,4,0)),"")</f>
        <v/>
      </c>
      <c r="N149" s="11"/>
      <c r="O149" s="181"/>
      <c r="P149" s="221" t="str">
        <f>IF(N149&gt;0,(N149*VLOOKUP(Lookups!$K$11,Lookups!$M$10:$P$43,4,0)/VLOOKUP(O149,Lookups!$M$10:$P$43,4,0)),"")</f>
        <v/>
      </c>
      <c r="Q149" s="173" t="s">
        <v>2764</v>
      </c>
      <c r="R149" s="181" t="s">
        <v>154</v>
      </c>
      <c r="S149" s="174" t="s">
        <v>2769</v>
      </c>
      <c r="T149" s="176" t="s">
        <v>923</v>
      </c>
      <c r="U149" s="90" t="s">
        <v>2407</v>
      </c>
    </row>
    <row r="150" spans="1:21" s="54" customFormat="1" ht="60" hidden="1" customHeight="1" outlineLevel="1" x14ac:dyDescent="0.25">
      <c r="A150" s="42" t="s">
        <v>219</v>
      </c>
      <c r="B150" s="42" t="s">
        <v>236</v>
      </c>
      <c r="C150" s="42" t="s">
        <v>2247</v>
      </c>
      <c r="D150" s="42" t="s">
        <v>2770</v>
      </c>
      <c r="E150" s="4" t="s">
        <v>161</v>
      </c>
      <c r="F150" s="4" t="s">
        <v>162</v>
      </c>
      <c r="G150" s="4" t="s">
        <v>2692</v>
      </c>
      <c r="H150" s="193">
        <v>65</v>
      </c>
      <c r="I150" s="181" t="s">
        <v>1520</v>
      </c>
      <c r="J150" s="221">
        <f>IF(H150&gt;0,(H150*VLOOKUP(Lookups!$K$11,Lookups!$M$10:$P$43,4,0)/VLOOKUP(I150,Lookups!$M$10:$P$43,4,0)),"")</f>
        <v>66.944996439395155</v>
      </c>
      <c r="K150" s="11"/>
      <c r="L150" s="181"/>
      <c r="M150" s="221" t="str">
        <f>IF(K150&gt;0,(K150*VLOOKUP(Lookups!$K$11,Lookups!$M$10:$P$43,4,0)/VLOOKUP(L150,Lookups!$M$10:$P$43,4,0)),"")</f>
        <v/>
      </c>
      <c r="N150" s="11"/>
      <c r="O150" s="181"/>
      <c r="P150" s="221" t="str">
        <f>IF(N150&gt;0,(N150*VLOOKUP(Lookups!$K$11,Lookups!$M$10:$P$43,4,0)/VLOOKUP(O150,Lookups!$M$10:$P$43,4,0)),"")</f>
        <v/>
      </c>
      <c r="Q150" s="173" t="s">
        <v>2764</v>
      </c>
      <c r="R150" s="181" t="s">
        <v>154</v>
      </c>
      <c r="S150" s="174" t="s">
        <v>2771</v>
      </c>
      <c r="T150" s="176" t="s">
        <v>923</v>
      </c>
      <c r="U150" s="90" t="s">
        <v>2407</v>
      </c>
    </row>
    <row r="151" spans="1:21" s="54" customFormat="1" ht="60" hidden="1" customHeight="1" outlineLevel="1" x14ac:dyDescent="0.25">
      <c r="A151" s="42" t="s">
        <v>219</v>
      </c>
      <c r="B151" s="42" t="s">
        <v>236</v>
      </c>
      <c r="C151" s="42" t="s">
        <v>2248</v>
      </c>
      <c r="D151" s="42" t="s">
        <v>2772</v>
      </c>
      <c r="E151" s="4" t="s">
        <v>161</v>
      </c>
      <c r="F151" s="4" t="s">
        <v>162</v>
      </c>
      <c r="G151" s="4" t="s">
        <v>2692</v>
      </c>
      <c r="H151" s="193">
        <v>75</v>
      </c>
      <c r="I151" s="181" t="s">
        <v>1520</v>
      </c>
      <c r="J151" s="221">
        <f>IF(H151&gt;0,(H151*VLOOKUP(Lookups!$K$11,Lookups!$M$10:$P$43,4,0)/VLOOKUP(I151,Lookups!$M$10:$P$43,4,0)),"")</f>
        <v>77.244226660840553</v>
      </c>
      <c r="K151" s="11"/>
      <c r="L151" s="181"/>
      <c r="M151" s="221" t="str">
        <f>IF(K151&gt;0,(K151*VLOOKUP(Lookups!$K$11,Lookups!$M$10:$P$43,4,0)/VLOOKUP(L151,Lookups!$M$10:$P$43,4,0)),"")</f>
        <v/>
      </c>
      <c r="N151" s="11"/>
      <c r="O151" s="181"/>
      <c r="P151" s="221" t="str">
        <f>IF(N151&gt;0,(N151*VLOOKUP(Lookups!$K$11,Lookups!$M$10:$P$43,4,0)/VLOOKUP(O151,Lookups!$M$10:$P$43,4,0)),"")</f>
        <v/>
      </c>
      <c r="Q151" s="173" t="s">
        <v>2764</v>
      </c>
      <c r="R151" s="181" t="s">
        <v>154</v>
      </c>
      <c r="S151" s="174" t="s">
        <v>2773</v>
      </c>
      <c r="T151" s="176" t="s">
        <v>923</v>
      </c>
      <c r="U151" s="90" t="s">
        <v>2407</v>
      </c>
    </row>
    <row r="152" spans="1:21" s="54" customFormat="1" ht="60" hidden="1" customHeight="1" outlineLevel="1" x14ac:dyDescent="0.25">
      <c r="A152" s="42" t="s">
        <v>219</v>
      </c>
      <c r="B152" s="42" t="s">
        <v>236</v>
      </c>
      <c r="C152" s="42" t="s">
        <v>2249</v>
      </c>
      <c r="D152" s="42" t="s">
        <v>2774</v>
      </c>
      <c r="E152" s="4" t="s">
        <v>161</v>
      </c>
      <c r="F152" s="4" t="s">
        <v>162</v>
      </c>
      <c r="G152" s="4" t="s">
        <v>2692</v>
      </c>
      <c r="H152" s="193">
        <v>88</v>
      </c>
      <c r="I152" s="181" t="s">
        <v>1520</v>
      </c>
      <c r="J152" s="221">
        <f>IF(H152&gt;0,(H152*VLOOKUP(Lookups!$K$11,Lookups!$M$10:$P$43,4,0)/VLOOKUP(I152,Lookups!$M$10:$P$43,4,0)),"")</f>
        <v>90.633225948719598</v>
      </c>
      <c r="K152" s="11"/>
      <c r="L152" s="181"/>
      <c r="M152" s="221" t="str">
        <f>IF(K152&gt;0,(K152*VLOOKUP(Lookups!$K$11,Lookups!$M$10:$P$43,4,0)/VLOOKUP(L152,Lookups!$M$10:$P$43,4,0)),"")</f>
        <v/>
      </c>
      <c r="N152" s="11"/>
      <c r="O152" s="181"/>
      <c r="P152" s="221" t="str">
        <f>IF(N152&gt;0,(N152*VLOOKUP(Lookups!$K$11,Lookups!$M$10:$P$43,4,0)/VLOOKUP(O152,Lookups!$M$10:$P$43,4,0)),"")</f>
        <v/>
      </c>
      <c r="Q152" s="173" t="s">
        <v>2764</v>
      </c>
      <c r="R152" s="181" t="s">
        <v>154</v>
      </c>
      <c r="S152" s="174" t="s">
        <v>2775</v>
      </c>
      <c r="T152" s="176" t="s">
        <v>923</v>
      </c>
      <c r="U152" s="90" t="s">
        <v>2407</v>
      </c>
    </row>
    <row r="153" spans="1:21" s="54" customFormat="1" ht="60" hidden="1" customHeight="1" outlineLevel="1" x14ac:dyDescent="0.25">
      <c r="A153" s="42" t="s">
        <v>219</v>
      </c>
      <c r="B153" s="42" t="s">
        <v>236</v>
      </c>
      <c r="C153" s="42" t="s">
        <v>2250</v>
      </c>
      <c r="D153" s="42" t="s">
        <v>2776</v>
      </c>
      <c r="E153" s="4" t="s">
        <v>161</v>
      </c>
      <c r="F153" s="4" t="s">
        <v>162</v>
      </c>
      <c r="G153" s="4" t="s">
        <v>2692</v>
      </c>
      <c r="H153" s="193">
        <v>105</v>
      </c>
      <c r="I153" s="181" t="s">
        <v>1520</v>
      </c>
      <c r="J153" s="221">
        <f>IF(H153&gt;0,(H153*VLOOKUP(Lookups!$K$11,Lookups!$M$10:$P$43,4,0)/VLOOKUP(I153,Lookups!$M$10:$P$43,4,0)),"")</f>
        <v>108.14191732517679</v>
      </c>
      <c r="K153" s="11"/>
      <c r="L153" s="181"/>
      <c r="M153" s="221" t="str">
        <f>IF(K153&gt;0,(K153*VLOOKUP(Lookups!$K$11,Lookups!$M$10:$P$43,4,0)/VLOOKUP(L153,Lookups!$M$10:$P$43,4,0)),"")</f>
        <v/>
      </c>
      <c r="N153" s="11"/>
      <c r="O153" s="181"/>
      <c r="P153" s="221" t="str">
        <f>IF(N153&gt;0,(N153*VLOOKUP(Lookups!$K$11,Lookups!$M$10:$P$43,4,0)/VLOOKUP(O153,Lookups!$M$10:$P$43,4,0)),"")</f>
        <v/>
      </c>
      <c r="Q153" s="173" t="s">
        <v>2764</v>
      </c>
      <c r="R153" s="181" t="s">
        <v>154</v>
      </c>
      <c r="S153" s="174" t="s">
        <v>2777</v>
      </c>
      <c r="T153" s="176" t="s">
        <v>923</v>
      </c>
      <c r="U153" s="90" t="s">
        <v>2407</v>
      </c>
    </row>
    <row r="154" spans="1:21" s="54" customFormat="1" ht="60" hidden="1" customHeight="1" outlineLevel="1" x14ac:dyDescent="0.25">
      <c r="A154" s="42" t="s">
        <v>219</v>
      </c>
      <c r="B154" s="42" t="s">
        <v>236</v>
      </c>
      <c r="C154" s="42" t="s">
        <v>2970</v>
      </c>
      <c r="D154" s="42" t="s">
        <v>2778</v>
      </c>
      <c r="E154" s="4" t="s">
        <v>161</v>
      </c>
      <c r="F154" s="4" t="s">
        <v>162</v>
      </c>
      <c r="G154" s="4" t="s">
        <v>2692</v>
      </c>
      <c r="H154" s="193">
        <v>125</v>
      </c>
      <c r="I154" s="181" t="s">
        <v>1520</v>
      </c>
      <c r="J154" s="221">
        <f>IF(H154&gt;0,(H154*VLOOKUP(Lookups!$K$11,Lookups!$M$10:$P$43,4,0)/VLOOKUP(I154,Lookups!$M$10:$P$43,4,0)),"")</f>
        <v>128.74037776806759</v>
      </c>
      <c r="K154" s="11"/>
      <c r="L154" s="181"/>
      <c r="M154" s="221" t="str">
        <f>IF(K154&gt;0,(K154*VLOOKUP(Lookups!$K$11,Lookups!$M$10:$P$43,4,0)/VLOOKUP(L154,Lookups!$M$10:$P$43,4,0)),"")</f>
        <v/>
      </c>
      <c r="N154" s="11"/>
      <c r="O154" s="181"/>
      <c r="P154" s="221" t="str">
        <f>IF(N154&gt;0,(N154*VLOOKUP(Lookups!$K$11,Lookups!$M$10:$P$43,4,0)/VLOOKUP(O154,Lookups!$M$10:$P$43,4,0)),"")</f>
        <v/>
      </c>
      <c r="Q154" s="173" t="s">
        <v>2764</v>
      </c>
      <c r="R154" s="181" t="s">
        <v>154</v>
      </c>
      <c r="S154" s="174" t="s">
        <v>2781</v>
      </c>
      <c r="T154" s="176" t="s">
        <v>923</v>
      </c>
      <c r="U154" s="90" t="s">
        <v>2407</v>
      </c>
    </row>
    <row r="155" spans="1:21" s="54" customFormat="1" ht="60" hidden="1" customHeight="1" outlineLevel="1" x14ac:dyDescent="0.25">
      <c r="A155" s="42" t="s">
        <v>219</v>
      </c>
      <c r="B155" s="42" t="s">
        <v>236</v>
      </c>
      <c r="C155" s="42" t="s">
        <v>2971</v>
      </c>
      <c r="D155" s="42" t="s">
        <v>2779</v>
      </c>
      <c r="E155" s="4" t="s">
        <v>161</v>
      </c>
      <c r="F155" s="4" t="s">
        <v>162</v>
      </c>
      <c r="G155" s="4" t="s">
        <v>2692</v>
      </c>
      <c r="H155" s="193">
        <v>151</v>
      </c>
      <c r="I155" s="181" t="s">
        <v>1520</v>
      </c>
      <c r="J155" s="221">
        <f>IF(H155&gt;0,(H155*VLOOKUP(Lookups!$K$11,Lookups!$M$10:$P$43,4,0)/VLOOKUP(I155,Lookups!$M$10:$P$43,4,0)),"")</f>
        <v>155.51837634382568</v>
      </c>
      <c r="K155" s="11"/>
      <c r="L155" s="181"/>
      <c r="M155" s="221" t="str">
        <f>IF(K155&gt;0,(K155*VLOOKUP(Lookups!$K$11,Lookups!$M$10:$P$43,4,0)/VLOOKUP(L155,Lookups!$M$10:$P$43,4,0)),"")</f>
        <v/>
      </c>
      <c r="N155" s="11"/>
      <c r="O155" s="181"/>
      <c r="P155" s="221" t="str">
        <f>IF(N155&gt;0,(N155*VLOOKUP(Lookups!$K$11,Lookups!$M$10:$P$43,4,0)/VLOOKUP(O155,Lookups!$M$10:$P$43,4,0)),"")</f>
        <v/>
      </c>
      <c r="Q155" s="173" t="s">
        <v>2764</v>
      </c>
      <c r="R155" s="181" t="s">
        <v>154</v>
      </c>
      <c r="S155" s="174" t="s">
        <v>2780</v>
      </c>
      <c r="T155" s="176" t="s">
        <v>923</v>
      </c>
      <c r="U155" s="90" t="s">
        <v>2407</v>
      </c>
    </row>
    <row r="156" spans="1:21" s="36" customFormat="1" ht="60" customHeight="1" collapsed="1" x14ac:dyDescent="0.25">
      <c r="A156" s="38" t="s">
        <v>219</v>
      </c>
      <c r="B156" s="38" t="s">
        <v>244</v>
      </c>
      <c r="C156" s="38" t="s">
        <v>758</v>
      </c>
      <c r="D156" s="38" t="s">
        <v>2022</v>
      </c>
      <c r="E156" s="12" t="s">
        <v>1991</v>
      </c>
      <c r="F156" s="12" t="s">
        <v>162</v>
      </c>
      <c r="G156" s="12" t="s">
        <v>2692</v>
      </c>
      <c r="H156" s="14">
        <v>8.84</v>
      </c>
      <c r="I156" s="15" t="s">
        <v>195</v>
      </c>
      <c r="J156" s="17">
        <f>IF(H156&gt;0,(H156*VLOOKUP(Lookups!$K$11,Lookups!$M$10:$P$43,4,0)/VLOOKUP(I156,Lookups!$M$10:$P$43,4,0)),"")</f>
        <v>11.460590265296585</v>
      </c>
      <c r="K156" s="14"/>
      <c r="L156" s="15"/>
      <c r="M156" s="17" t="str">
        <f>IF(K156&gt;0,(K156*VLOOKUP(Lookups!$K$11,Lookups!$M$10:$P$43,4,0)/VLOOKUP(L156,Lookups!$M$10:$P$43,4,0)),"")</f>
        <v/>
      </c>
      <c r="N156" s="14"/>
      <c r="O156" s="15"/>
      <c r="P156" s="17" t="str">
        <f>IF(N156&gt;0,(N156*VLOOKUP(Lookups!$K$11,Lookups!$M$10:$P$43,4,0)/VLOOKUP(O156,Lookups!$M$10:$P$43,4,0)),"")</f>
        <v/>
      </c>
      <c r="Q156" s="143" t="s">
        <v>1992</v>
      </c>
      <c r="R156" s="15" t="s">
        <v>149</v>
      </c>
      <c r="S156" s="140" t="s">
        <v>2241</v>
      </c>
      <c r="T156" s="176"/>
      <c r="U156" s="4"/>
    </row>
    <row r="157" spans="1:21" s="36" customFormat="1" ht="60" hidden="1" customHeight="1" outlineLevel="1" x14ac:dyDescent="0.25">
      <c r="A157" s="42" t="s">
        <v>219</v>
      </c>
      <c r="B157" s="42" t="s">
        <v>244</v>
      </c>
      <c r="C157" s="42" t="s">
        <v>2972</v>
      </c>
      <c r="D157" s="42" t="s">
        <v>2023</v>
      </c>
      <c r="E157" s="12" t="s">
        <v>1991</v>
      </c>
      <c r="F157" s="12" t="s">
        <v>162</v>
      </c>
      <c r="G157" s="12" t="s">
        <v>2692</v>
      </c>
      <c r="H157" s="14">
        <v>299.52999999999997</v>
      </c>
      <c r="I157" s="15" t="s">
        <v>195</v>
      </c>
      <c r="J157" s="17">
        <f>IF(H157&gt;0,(H157*VLOOKUP(Lookups!$K$11,Lookups!$M$10:$P$43,4,0)/VLOOKUP(I157,Lookups!$M$10:$P$43,4,0)),"")</f>
        <v>388.32472875161602</v>
      </c>
      <c r="K157" s="14"/>
      <c r="L157" s="15"/>
      <c r="M157" s="17" t="str">
        <f>IF(K157&gt;0,(K157*VLOOKUP(Lookups!$K$11,Lookups!$M$10:$P$43,4,0)/VLOOKUP(L157,Lookups!$M$10:$P$43,4,0)),"")</f>
        <v/>
      </c>
      <c r="N157" s="14"/>
      <c r="O157" s="15"/>
      <c r="P157" s="17" t="str">
        <f>IF(N157&gt;0,(N157*VLOOKUP(Lookups!$K$11,Lookups!$M$10:$P$43,4,0)/VLOOKUP(O157,Lookups!$M$10:$P$43,4,0)),"")</f>
        <v/>
      </c>
      <c r="Q157" s="143" t="s">
        <v>1992</v>
      </c>
      <c r="R157" s="15" t="s">
        <v>149</v>
      </c>
      <c r="S157" s="140" t="s">
        <v>3043</v>
      </c>
      <c r="T157" s="176"/>
      <c r="U157" s="4"/>
    </row>
    <row r="158" spans="1:21" s="36" customFormat="1" ht="60" hidden="1" customHeight="1" outlineLevel="1" x14ac:dyDescent="0.25">
      <c r="A158" s="42" t="s">
        <v>219</v>
      </c>
      <c r="B158" s="42" t="s">
        <v>244</v>
      </c>
      <c r="C158" s="42" t="s">
        <v>2973</v>
      </c>
      <c r="D158" s="42" t="s">
        <v>1993</v>
      </c>
      <c r="E158" s="12" t="s">
        <v>1991</v>
      </c>
      <c r="F158" s="12" t="s">
        <v>162</v>
      </c>
      <c r="G158" s="12" t="s">
        <v>2692</v>
      </c>
      <c r="H158" s="14">
        <v>36.28</v>
      </c>
      <c r="I158" s="15" t="s">
        <v>195</v>
      </c>
      <c r="J158" s="17">
        <f>IF(H158&gt;0,(H158*VLOOKUP(Lookups!$K$11,Lookups!$M$10:$P$43,4,0)/VLOOKUP(I158,Lookups!$M$10:$P$43,4,0)),"")</f>
        <v>47.035092174769247</v>
      </c>
      <c r="K158" s="14"/>
      <c r="L158" s="15"/>
      <c r="M158" s="17" t="str">
        <f>IF(K158&gt;0,(K158*VLOOKUP(Lookups!$K$11,Lookups!$M$10:$P$43,4,0)/VLOOKUP(L158,Lookups!$M$10:$P$43,4,0)),"")</f>
        <v/>
      </c>
      <c r="N158" s="14"/>
      <c r="O158" s="15"/>
      <c r="P158" s="17" t="str">
        <f>IF(N158&gt;0,(N158*VLOOKUP(Lookups!$K$11,Lookups!$M$10:$P$43,4,0)/VLOOKUP(O158,Lookups!$M$10:$P$43,4,0)),"")</f>
        <v/>
      </c>
      <c r="Q158" s="143" t="s">
        <v>1992</v>
      </c>
      <c r="R158" s="15" t="s">
        <v>149</v>
      </c>
      <c r="S158" s="140" t="s">
        <v>1994</v>
      </c>
      <c r="T158" s="176"/>
      <c r="U158" s="4"/>
    </row>
    <row r="159" spans="1:21" s="36" customFormat="1" ht="60" customHeight="1" collapsed="1" x14ac:dyDescent="0.25">
      <c r="A159" s="38" t="s">
        <v>219</v>
      </c>
      <c r="B159" s="38" t="s">
        <v>244</v>
      </c>
      <c r="C159" s="38" t="s">
        <v>759</v>
      </c>
      <c r="D159" s="38" t="s">
        <v>1995</v>
      </c>
      <c r="E159" s="12" t="s">
        <v>161</v>
      </c>
      <c r="F159" s="12" t="s">
        <v>162</v>
      </c>
      <c r="G159" s="12" t="s">
        <v>2692</v>
      </c>
      <c r="H159" s="172">
        <v>105</v>
      </c>
      <c r="I159" s="15" t="s">
        <v>261</v>
      </c>
      <c r="J159" s="17">
        <f>IF(H159&gt;0,(H159*VLOOKUP(Lookups!$K$11,Lookups!$M$10:$P$43,4,0)/VLOOKUP(I159,Lookups!$M$10:$P$43,4,0)),"")</f>
        <v>114.45313099114472</v>
      </c>
      <c r="K159" s="14"/>
      <c r="L159" s="15"/>
      <c r="M159" s="17" t="str">
        <f>IF(K159&gt;0,(K159*VLOOKUP(Lookups!$K$11,Lookups!$M$10:$P$43,4,0)/VLOOKUP(L159,Lookups!$M$10:$P$43,4,0)),"")</f>
        <v/>
      </c>
      <c r="N159" s="14"/>
      <c r="O159" s="15"/>
      <c r="P159" s="17" t="str">
        <f>IF(N159&gt;0,(N159*VLOOKUP(Lookups!$K$11,Lookups!$M$10:$P$43,4,0)/VLOOKUP(O159,Lookups!$M$10:$P$43,4,0)),"")</f>
        <v/>
      </c>
      <c r="Q159" s="173" t="s">
        <v>2782</v>
      </c>
      <c r="R159" s="15" t="s">
        <v>154</v>
      </c>
      <c r="S159" s="194" t="s">
        <v>3050</v>
      </c>
      <c r="T159" s="176" t="s">
        <v>923</v>
      </c>
      <c r="U159" s="90" t="s">
        <v>2753</v>
      </c>
    </row>
    <row r="160" spans="1:21" s="36" customFormat="1" ht="60" hidden="1" customHeight="1" outlineLevel="1" x14ac:dyDescent="0.25">
      <c r="A160" s="42" t="s">
        <v>219</v>
      </c>
      <c r="B160" s="42" t="s">
        <v>244</v>
      </c>
      <c r="C160" s="42" t="s">
        <v>55</v>
      </c>
      <c r="D160" s="42" t="s">
        <v>2041</v>
      </c>
      <c r="E160" s="12" t="s">
        <v>161</v>
      </c>
      <c r="F160" s="12" t="s">
        <v>162</v>
      </c>
      <c r="G160" s="12" t="s">
        <v>2692</v>
      </c>
      <c r="H160" s="172">
        <v>139</v>
      </c>
      <c r="I160" s="15" t="s">
        <v>261</v>
      </c>
      <c r="J160" s="17">
        <f>IF(H160&gt;0,(H160*VLOOKUP(Lookups!$K$11,Lookups!$M$10:$P$43,4,0)/VLOOKUP(I160,Lookups!$M$10:$P$43,4,0)),"")</f>
        <v>151.51414483589633</v>
      </c>
      <c r="K160" s="14"/>
      <c r="L160" s="15"/>
      <c r="M160" s="17" t="str">
        <f>IF(K160&gt;0,(K160*VLOOKUP(Lookups!$K$11,Lookups!$M$10:$P$43,4,0)/VLOOKUP(L160,Lookups!$M$10:$P$43,4,0)),"")</f>
        <v/>
      </c>
      <c r="N160" s="14"/>
      <c r="O160" s="15"/>
      <c r="P160" s="17" t="str">
        <f>IF(N160&gt;0,(N160*VLOOKUP(Lookups!$K$11,Lookups!$M$10:$P$43,4,0)/VLOOKUP(O160,Lookups!$M$10:$P$43,4,0)),"")</f>
        <v/>
      </c>
      <c r="Q160" s="173" t="s">
        <v>2783</v>
      </c>
      <c r="R160" s="15" t="s">
        <v>154</v>
      </c>
      <c r="S160" s="194" t="s">
        <v>2784</v>
      </c>
      <c r="T160" s="176" t="s">
        <v>923</v>
      </c>
      <c r="U160" s="90" t="s">
        <v>2753</v>
      </c>
    </row>
    <row r="161" spans="1:21" s="36" customFormat="1" ht="60" customHeight="1" collapsed="1" x14ac:dyDescent="0.25">
      <c r="A161" s="38" t="s">
        <v>219</v>
      </c>
      <c r="B161" s="38" t="s">
        <v>1989</v>
      </c>
      <c r="C161" s="38" t="s">
        <v>760</v>
      </c>
      <c r="D161" s="38" t="s">
        <v>3039</v>
      </c>
      <c r="E161" s="12" t="s">
        <v>167</v>
      </c>
      <c r="F161" s="12" t="s">
        <v>162</v>
      </c>
      <c r="G161" s="12" t="s">
        <v>2692</v>
      </c>
      <c r="H161" s="14">
        <v>3802</v>
      </c>
      <c r="I161" s="15" t="s">
        <v>255</v>
      </c>
      <c r="J161" s="17">
        <f>IF(H161&gt;0,(H161*VLOOKUP(Lookups!$K$11,Lookups!$M$10:$P$43,4,0)/VLOOKUP(I161,Lookups!$M$10:$P$43,4,0)),"")</f>
        <v>4576.8604650467405</v>
      </c>
      <c r="K161" s="14"/>
      <c r="L161" s="15"/>
      <c r="M161" s="17" t="str">
        <f>IF(K161&gt;0,(K161*VLOOKUP(Lookups!$K$11,Lookups!$M$10:$P$43,4,0)/VLOOKUP(L161,Lookups!$M$10:$P$43,4,0)),"")</f>
        <v/>
      </c>
      <c r="N161" s="14"/>
      <c r="O161" s="15"/>
      <c r="P161" s="17" t="str">
        <f>IF(N161&gt;0,(N161*VLOOKUP(Lookups!$K$11,Lookups!$M$10:$P$43,4,0)/VLOOKUP(O161,Lookups!$M$10:$P$43,4,0)),"")</f>
        <v/>
      </c>
      <c r="Q161" s="143" t="s">
        <v>1990</v>
      </c>
      <c r="R161" s="15" t="s">
        <v>152</v>
      </c>
      <c r="S161" s="140" t="s">
        <v>2234</v>
      </c>
      <c r="T161" s="176"/>
      <c r="U161" s="4"/>
    </row>
    <row r="162" spans="1:21" s="36" customFormat="1" ht="60" hidden="1" customHeight="1" outlineLevel="1" x14ac:dyDescent="0.25">
      <c r="A162" s="42" t="s">
        <v>219</v>
      </c>
      <c r="B162" s="42" t="s">
        <v>1989</v>
      </c>
      <c r="C162" s="42" t="s">
        <v>2974</v>
      </c>
      <c r="D162" s="42" t="s">
        <v>3036</v>
      </c>
      <c r="E162" s="12" t="s">
        <v>167</v>
      </c>
      <c r="F162" s="12" t="s">
        <v>162</v>
      </c>
      <c r="G162" s="12" t="s">
        <v>2692</v>
      </c>
      <c r="H162" s="14">
        <v>3911</v>
      </c>
      <c r="I162" s="15" t="s">
        <v>255</v>
      </c>
      <c r="J162" s="17">
        <f>IF(H162&gt;0,(H162*VLOOKUP(Lookups!$K$11,Lookups!$M$10:$P$43,4,0)/VLOOKUP(I162,Lookups!$M$10:$P$43,4,0)),"")</f>
        <v>4708.0750338763291</v>
      </c>
      <c r="K162" s="14"/>
      <c r="L162" s="15"/>
      <c r="M162" s="17" t="str">
        <f>IF(K162&gt;0,(K162*VLOOKUP(Lookups!$K$11,Lookups!$M$10:$P$43,4,0)/VLOOKUP(L162,Lookups!$M$10:$P$43,4,0)),"")</f>
        <v/>
      </c>
      <c r="N162" s="14"/>
      <c r="O162" s="15"/>
      <c r="P162" s="17" t="str">
        <f>IF(N162&gt;0,(N162*VLOOKUP(Lookups!$K$11,Lookups!$M$10:$P$43,4,0)/VLOOKUP(O162,Lookups!$M$10:$P$43,4,0)),"")</f>
        <v/>
      </c>
      <c r="Q162" s="143" t="s">
        <v>1990</v>
      </c>
      <c r="R162" s="15" t="s">
        <v>152</v>
      </c>
      <c r="S162" s="140" t="s">
        <v>2235</v>
      </c>
      <c r="T162" s="176"/>
      <c r="U162" s="4"/>
    </row>
    <row r="163" spans="1:21" s="56" customFormat="1" ht="60" hidden="1" customHeight="1" outlineLevel="1" x14ac:dyDescent="0.25">
      <c r="A163" s="42" t="s">
        <v>219</v>
      </c>
      <c r="B163" s="42" t="s">
        <v>1989</v>
      </c>
      <c r="C163" s="42" t="s">
        <v>56</v>
      </c>
      <c r="D163" s="42" t="s">
        <v>380</v>
      </c>
      <c r="E163" s="160" t="s">
        <v>167</v>
      </c>
      <c r="F163" s="160" t="s">
        <v>162</v>
      </c>
      <c r="G163" s="160" t="s">
        <v>2692</v>
      </c>
      <c r="H163" s="161">
        <v>381</v>
      </c>
      <c r="I163" s="15" t="s">
        <v>196</v>
      </c>
      <c r="J163" s="17">
        <f>IF(H163&gt;0,(H163*VLOOKUP(Lookups!$K$11,Lookups!$M$10:$P$43,4,0)/VLOOKUP(I163,Lookups!$M$10:$P$43,4,0)),"")</f>
        <v>485.84434973746477</v>
      </c>
      <c r="K163" s="161"/>
      <c r="L163" s="15"/>
      <c r="M163" s="17" t="str">
        <f>IF(K163&gt;0,(K163*VLOOKUP(Lookups!$K$11,Lookups!$M$10:$P$43,4,0)/VLOOKUP(L163,Lookups!$M$10:$P$43,4,0)),"")</f>
        <v/>
      </c>
      <c r="N163" s="161"/>
      <c r="O163" s="15"/>
      <c r="P163" s="17" t="str">
        <f>IF(N163&gt;0,(N163*VLOOKUP(Lookups!$K$11,Lookups!$M$10:$P$43,4,0)/VLOOKUP(O163,Lookups!$M$10:$P$43,4,0)),"")</f>
        <v/>
      </c>
      <c r="Q163" s="140" t="s">
        <v>379</v>
      </c>
      <c r="R163" s="15" t="s">
        <v>149</v>
      </c>
      <c r="S163" s="160" t="s">
        <v>381</v>
      </c>
      <c r="T163" s="181"/>
      <c r="U163" s="90"/>
    </row>
    <row r="164" spans="1:21" s="36" customFormat="1" ht="60" hidden="1" customHeight="1" outlineLevel="1" x14ac:dyDescent="0.25">
      <c r="A164" s="42" t="s">
        <v>219</v>
      </c>
      <c r="B164" s="42" t="s">
        <v>1989</v>
      </c>
      <c r="C164" s="42" t="s">
        <v>57</v>
      </c>
      <c r="D164" s="42" t="s">
        <v>3037</v>
      </c>
      <c r="E164" s="12" t="s">
        <v>167</v>
      </c>
      <c r="F164" s="12" t="s">
        <v>162</v>
      </c>
      <c r="G164" s="12" t="s">
        <v>2692</v>
      </c>
      <c r="H164" s="14">
        <v>293</v>
      </c>
      <c r="I164" s="15" t="s">
        <v>255</v>
      </c>
      <c r="J164" s="17">
        <f>IF(H164&gt;0,(H164*VLOOKUP(Lookups!$K$11,Lookups!$M$10:$P$43,4,0)/VLOOKUP(I164,Lookups!$M$10:$P$43,4,0)),"")</f>
        <v>352.71439144100344</v>
      </c>
      <c r="K164" s="14"/>
      <c r="L164" s="15"/>
      <c r="M164" s="17" t="str">
        <f>IF(K164&gt;0,(K164*VLOOKUP(Lookups!$K$11,Lookups!$M$10:$P$43,4,0)/VLOOKUP(L164,Lookups!$M$10:$P$43,4,0)),"")</f>
        <v/>
      </c>
      <c r="N164" s="14"/>
      <c r="O164" s="15"/>
      <c r="P164" s="17" t="str">
        <f>IF(N164&gt;0,(N164*VLOOKUP(Lookups!$K$11,Lookups!$M$10:$P$43,4,0)/VLOOKUP(O164,Lookups!$M$10:$P$43,4,0)),"")</f>
        <v/>
      </c>
      <c r="Q164" s="143" t="s">
        <v>1990</v>
      </c>
      <c r="R164" s="15" t="s">
        <v>152</v>
      </c>
      <c r="S164" s="140" t="s">
        <v>2237</v>
      </c>
      <c r="T164" s="176"/>
      <c r="U164" s="4"/>
    </row>
    <row r="165" spans="1:21" s="36" customFormat="1" ht="60" hidden="1" customHeight="1" outlineLevel="1" x14ac:dyDescent="0.25">
      <c r="A165" s="42" t="s">
        <v>219</v>
      </c>
      <c r="B165" s="42" t="s">
        <v>1989</v>
      </c>
      <c r="C165" s="42" t="s">
        <v>58</v>
      </c>
      <c r="D165" s="42" t="s">
        <v>3038</v>
      </c>
      <c r="E165" s="12" t="s">
        <v>167</v>
      </c>
      <c r="F165" s="12" t="s">
        <v>162</v>
      </c>
      <c r="G165" s="12" t="s">
        <v>2692</v>
      </c>
      <c r="H165" s="14">
        <v>1337</v>
      </c>
      <c r="I165" s="15" t="s">
        <v>255</v>
      </c>
      <c r="J165" s="17">
        <f>IF(H165&gt;0,(H165*VLOOKUP(Lookups!$K$11,Lookups!$M$10:$P$43,4,0)/VLOOKUP(I165,Lookups!$M$10:$P$43,4,0)),"")</f>
        <v>1609.4851240840328</v>
      </c>
      <c r="K165" s="14"/>
      <c r="L165" s="15"/>
      <c r="M165" s="17" t="str">
        <f>IF(K165&gt;0,(K165*VLOOKUP(Lookups!$K$11,Lookups!$M$10:$P$43,4,0)/VLOOKUP(L165,Lookups!$M$10:$P$43,4,0)),"")</f>
        <v/>
      </c>
      <c r="N165" s="14"/>
      <c r="O165" s="15"/>
      <c r="P165" s="17" t="str">
        <f>IF(N165&gt;0,(N165*VLOOKUP(Lookups!$K$11,Lookups!$M$10:$P$43,4,0)/VLOOKUP(O165,Lookups!$M$10:$P$43,4,0)),"")</f>
        <v/>
      </c>
      <c r="Q165" s="143" t="s">
        <v>1990</v>
      </c>
      <c r="R165" s="15" t="s">
        <v>152</v>
      </c>
      <c r="S165" s="140" t="s">
        <v>2236</v>
      </c>
      <c r="T165" s="176"/>
      <c r="U165" s="4"/>
    </row>
    <row r="166" spans="1:21" s="36" customFormat="1" ht="60" hidden="1" customHeight="1" outlineLevel="1" x14ac:dyDescent="0.25">
      <c r="A166" s="42" t="s">
        <v>219</v>
      </c>
      <c r="B166" s="42" t="s">
        <v>1989</v>
      </c>
      <c r="C166" s="42" t="s">
        <v>59</v>
      </c>
      <c r="D166" s="42" t="s">
        <v>2024</v>
      </c>
      <c r="E166" s="12" t="s">
        <v>628</v>
      </c>
      <c r="F166" s="12" t="s">
        <v>1943</v>
      </c>
      <c r="G166" s="12" t="s">
        <v>162</v>
      </c>
      <c r="H166" s="14">
        <v>46039</v>
      </c>
      <c r="I166" s="15" t="s">
        <v>258</v>
      </c>
      <c r="J166" s="17">
        <f>IF(H166&gt;0,(H166*VLOOKUP(Lookups!$K$11,Lookups!$M$10:$P$43,4,0)/VLOOKUP(I166,Lookups!$M$10:$P$43,4,0)),"")</f>
        <v>53261.703317462001</v>
      </c>
      <c r="K166" s="14"/>
      <c r="L166" s="15"/>
      <c r="M166" s="17" t="str">
        <f>IF(K166&gt;0,(K166*VLOOKUP(Lookups!$K$11,Lookups!$M$10:$P$43,4,0)/VLOOKUP(L166,Lookups!$M$10:$P$43,4,0)),"")</f>
        <v/>
      </c>
      <c r="N166" s="14"/>
      <c r="O166" s="15"/>
      <c r="P166" s="17" t="str">
        <f>IF(N166&gt;0,(N166*VLOOKUP(Lookups!$K$11,Lookups!$M$10:$P$43,4,0)/VLOOKUP(O166,Lookups!$M$10:$P$43,4,0)),"")</f>
        <v/>
      </c>
      <c r="Q166" s="143" t="s">
        <v>2021</v>
      </c>
      <c r="R166" s="15" t="s">
        <v>152</v>
      </c>
      <c r="S166" s="140" t="s">
        <v>2238</v>
      </c>
      <c r="T166" s="176"/>
      <c r="U166" s="4"/>
    </row>
    <row r="167" spans="1:21" s="56" customFormat="1" ht="60" hidden="1" customHeight="1" outlineLevel="1" x14ac:dyDescent="0.25">
      <c r="A167" s="42" t="s">
        <v>219</v>
      </c>
      <c r="B167" s="42" t="s">
        <v>1989</v>
      </c>
      <c r="C167" s="42" t="s">
        <v>2038</v>
      </c>
      <c r="D167" s="42" t="s">
        <v>378</v>
      </c>
      <c r="E167" s="160" t="s">
        <v>167</v>
      </c>
      <c r="F167" s="160" t="s">
        <v>162</v>
      </c>
      <c r="G167" s="160" t="s">
        <v>2692</v>
      </c>
      <c r="H167" s="161">
        <v>3660</v>
      </c>
      <c r="I167" s="15" t="s">
        <v>196</v>
      </c>
      <c r="J167" s="17">
        <f>IF(H167&gt;0,(H167*VLOOKUP(Lookups!$K$11,Lookups!$M$10:$P$43,4,0)/VLOOKUP(I167,Lookups!$M$10:$P$43,4,0)),"")</f>
        <v>4667.1661943284025</v>
      </c>
      <c r="K167" s="161"/>
      <c r="L167" s="15"/>
      <c r="M167" s="17" t="str">
        <f>IF(K167&gt;0,(K167*VLOOKUP(Lookups!$K$11,Lookups!$M$10:$P$43,4,0)/VLOOKUP(L167,Lookups!$M$10:$P$43,4,0)),"")</f>
        <v/>
      </c>
      <c r="N167" s="161"/>
      <c r="O167" s="15"/>
      <c r="P167" s="17" t="str">
        <f>IF(N167&gt;0,(N167*VLOOKUP(Lookups!$K$11,Lookups!$M$10:$P$43,4,0)/VLOOKUP(O167,Lookups!$M$10:$P$43,4,0)),"")</f>
        <v/>
      </c>
      <c r="Q167" s="140" t="s">
        <v>350</v>
      </c>
      <c r="R167" s="15" t="s">
        <v>149</v>
      </c>
      <c r="S167" s="160" t="s">
        <v>382</v>
      </c>
      <c r="T167" s="181"/>
      <c r="U167" s="90"/>
    </row>
    <row r="168" spans="1:21" s="36" customFormat="1" ht="60" hidden="1" customHeight="1" outlineLevel="1" x14ac:dyDescent="0.25">
      <c r="A168" s="42" t="s">
        <v>219</v>
      </c>
      <c r="B168" s="42" t="s">
        <v>1989</v>
      </c>
      <c r="C168" s="42" t="s">
        <v>2975</v>
      </c>
      <c r="D168" s="42" t="s">
        <v>2000</v>
      </c>
      <c r="E168" s="12" t="s">
        <v>167</v>
      </c>
      <c r="F168" s="12" t="s">
        <v>243</v>
      </c>
      <c r="G168" s="12"/>
      <c r="H168" s="14">
        <v>2534.0896348710439</v>
      </c>
      <c r="I168" s="15" t="s">
        <v>196</v>
      </c>
      <c r="J168" s="17">
        <f>IF(H168&gt;0,(H168*VLOOKUP(Lookups!$K$11,Lookups!$M$10:$P$43,4,0)/VLOOKUP(I168,Lookups!$M$10:$P$43,4,0)),"")</f>
        <v>3231.4255402371969</v>
      </c>
      <c r="K168" s="14">
        <v>4788.84808107959</v>
      </c>
      <c r="L168" s="15" t="s">
        <v>196</v>
      </c>
      <c r="M168" s="17">
        <f>IF(K168&gt;0,(K168*VLOOKUP(Lookups!$K$11,Lookups!$M$10:$P$43,4,0)/VLOOKUP(L168,Lookups!$M$10:$P$43,4,0)),"")</f>
        <v>6106.6529709806282</v>
      </c>
      <c r="N168" s="14"/>
      <c r="O168" s="15"/>
      <c r="P168" s="17" t="str">
        <f>IF(N168&gt;0,(N168*VLOOKUP(Lookups!$K$11,Lookups!$M$10:$P$43,4,0)/VLOOKUP(O168,Lookups!$M$10:$P$43,4,0)),"")</f>
        <v/>
      </c>
      <c r="Q168" s="143" t="s">
        <v>2001</v>
      </c>
      <c r="R168" s="15" t="s">
        <v>149</v>
      </c>
      <c r="S168" s="140" t="s">
        <v>2239</v>
      </c>
      <c r="T168" s="176"/>
      <c r="U168" s="4"/>
    </row>
    <row r="169" spans="1:21" s="36" customFormat="1" ht="60" hidden="1" customHeight="1" outlineLevel="1" x14ac:dyDescent="0.25">
      <c r="A169" s="42" t="s">
        <v>219</v>
      </c>
      <c r="B169" s="42" t="s">
        <v>1989</v>
      </c>
      <c r="C169" s="42" t="s">
        <v>2976</v>
      </c>
      <c r="D169" s="42" t="s">
        <v>2002</v>
      </c>
      <c r="E169" s="12" t="s">
        <v>167</v>
      </c>
      <c r="F169" s="12" t="s">
        <v>243</v>
      </c>
      <c r="G169" s="12"/>
      <c r="H169" s="14">
        <v>2563.5923835440667</v>
      </c>
      <c r="I169" s="15" t="s">
        <v>196</v>
      </c>
      <c r="J169" s="17">
        <f>IF(H169&gt;0,(H169*VLOOKUP(Lookups!$K$11,Lookups!$M$10:$P$43,4,0)/VLOOKUP(I169,Lookups!$M$10:$P$43,4,0)),"")</f>
        <v>3269.04691489471</v>
      </c>
      <c r="K169" s="14">
        <v>6351.8454742147542</v>
      </c>
      <c r="L169" s="15" t="s">
        <v>196</v>
      </c>
      <c r="M169" s="17">
        <f>IF(K169&gt;0,(K169*VLOOKUP(Lookups!$K$11,Lookups!$M$10:$P$43,4,0)/VLOOKUP(L169,Lookups!$M$10:$P$43,4,0)),"")</f>
        <v>8099.7591444953441</v>
      </c>
      <c r="N169" s="14"/>
      <c r="O169" s="15"/>
      <c r="P169" s="17" t="str">
        <f>IF(N169&gt;0,(N169*VLOOKUP(Lookups!$K$11,Lookups!$M$10:$P$43,4,0)/VLOOKUP(O169,Lookups!$M$10:$P$43,4,0)),"")</f>
        <v/>
      </c>
      <c r="Q169" s="143" t="s">
        <v>2001</v>
      </c>
      <c r="R169" s="15" t="s">
        <v>149</v>
      </c>
      <c r="S169" s="140" t="s">
        <v>2240</v>
      </c>
      <c r="T169" s="176"/>
      <c r="U169" s="4"/>
    </row>
    <row r="170" spans="1:21" s="36" customFormat="1" ht="60" customHeight="1" collapsed="1" x14ac:dyDescent="0.25">
      <c r="A170" s="38" t="s">
        <v>219</v>
      </c>
      <c r="B170" s="38" t="s">
        <v>1979</v>
      </c>
      <c r="C170" s="38" t="s">
        <v>761</v>
      </c>
      <c r="D170" s="38" t="s">
        <v>1984</v>
      </c>
      <c r="E170" s="12" t="s">
        <v>1981</v>
      </c>
      <c r="F170" s="12" t="s">
        <v>668</v>
      </c>
      <c r="G170" s="12" t="s">
        <v>243</v>
      </c>
      <c r="H170" s="14"/>
      <c r="I170" s="15"/>
      <c r="J170" s="17" t="str">
        <f>IF(H170&gt;0,(H170*VLOOKUP(Lookups!$K$11,Lookups!$M$10:$P$43,4,0)/VLOOKUP(I170,Lookups!$M$10:$P$43,4,0)),"")</f>
        <v/>
      </c>
      <c r="K170" s="14">
        <v>1366</v>
      </c>
      <c r="L170" s="15" t="s">
        <v>188</v>
      </c>
      <c r="M170" s="17">
        <f>IF(K170&gt;0,(K170*VLOOKUP(Lookups!$K$11,Lookups!$M$10:$P$43,4,0)/VLOOKUP(L170,Lookups!$M$10:$P$43,4,0)),"")</f>
        <v>2131.1628770437073</v>
      </c>
      <c r="N170" s="14"/>
      <c r="O170" s="15"/>
      <c r="P170" s="17" t="str">
        <f>IF(N170&gt;0,(N170*VLOOKUP(Lookups!$K$11,Lookups!$M$10:$P$43,4,0)/VLOOKUP(O170,Lookups!$M$10:$P$43,4,0)),"")</f>
        <v/>
      </c>
      <c r="Q170" s="143" t="s">
        <v>1982</v>
      </c>
      <c r="R170" s="15" t="s">
        <v>149</v>
      </c>
      <c r="S170" s="140" t="s">
        <v>2229</v>
      </c>
      <c r="T170" s="176"/>
      <c r="U170" s="4"/>
    </row>
    <row r="171" spans="1:21" s="36" customFormat="1" ht="60" hidden="1" customHeight="1" outlineLevel="1" x14ac:dyDescent="0.25">
      <c r="A171" s="42" t="s">
        <v>219</v>
      </c>
      <c r="B171" s="42" t="s">
        <v>1979</v>
      </c>
      <c r="C171" s="42" t="s">
        <v>2977</v>
      </c>
      <c r="D171" s="42" t="s">
        <v>1980</v>
      </c>
      <c r="E171" s="12" t="s">
        <v>1981</v>
      </c>
      <c r="F171" s="12" t="s">
        <v>668</v>
      </c>
      <c r="G171" s="12" t="s">
        <v>243</v>
      </c>
      <c r="H171" s="12"/>
      <c r="I171" s="15"/>
      <c r="J171" s="17" t="str">
        <f>IF(H171&gt;0,(H171*VLOOKUP(Lookups!$K$11,Lookups!$M$10:$P$43,4,0)/VLOOKUP(I171,Lookups!$M$10:$P$43,4,0)),"")</f>
        <v/>
      </c>
      <c r="K171" s="14">
        <v>12167</v>
      </c>
      <c r="L171" s="15" t="s">
        <v>188</v>
      </c>
      <c r="M171" s="17">
        <f>IF(K171&gt;0,(K171*VLOOKUP(Lookups!$K$11,Lookups!$M$10:$P$43,4,0)/VLOOKUP(L171,Lookups!$M$10:$P$43,4,0)),"")</f>
        <v>18982.327031472028</v>
      </c>
      <c r="N171" s="14"/>
      <c r="O171" s="15"/>
      <c r="P171" s="17" t="str">
        <f>IF(N171&gt;0,(N171*VLOOKUP(Lookups!$K$11,Lookups!$M$10:$P$43,4,0)/VLOOKUP(O171,Lookups!$M$10:$P$43,4,0)),"")</f>
        <v/>
      </c>
      <c r="Q171" s="143" t="s">
        <v>1982</v>
      </c>
      <c r="R171" s="15" t="s">
        <v>149</v>
      </c>
      <c r="S171" s="140" t="s">
        <v>2230</v>
      </c>
      <c r="T171" s="176"/>
      <c r="U171" s="4"/>
    </row>
    <row r="172" spans="1:21" s="36" customFormat="1" ht="60" hidden="1" customHeight="1" outlineLevel="1" x14ac:dyDescent="0.25">
      <c r="A172" s="42" t="s">
        <v>219</v>
      </c>
      <c r="B172" s="42" t="s">
        <v>1979</v>
      </c>
      <c r="C172" s="42" t="s">
        <v>2978</v>
      </c>
      <c r="D172" s="42" t="s">
        <v>1983</v>
      </c>
      <c r="E172" s="12" t="s">
        <v>1981</v>
      </c>
      <c r="F172" s="12" t="s">
        <v>668</v>
      </c>
      <c r="G172" s="12" t="s">
        <v>243</v>
      </c>
      <c r="H172" s="14"/>
      <c r="I172" s="15"/>
      <c r="J172" s="17" t="str">
        <f>IF(H172&gt;0,(H172*VLOOKUP(Lookups!$K$11,Lookups!$M$10:$P$43,4,0)/VLOOKUP(I172,Lookups!$M$10:$P$43,4,0)),"")</f>
        <v/>
      </c>
      <c r="K172" s="14">
        <v>3008</v>
      </c>
      <c r="L172" s="15" t="s">
        <v>188</v>
      </c>
      <c r="M172" s="17">
        <f>IF(K172&gt;0,(K172*VLOOKUP(Lookups!$K$11,Lookups!$M$10:$P$43,4,0)/VLOOKUP(L172,Lookups!$M$10:$P$43,4,0)),"")</f>
        <v>4692.9267453495404</v>
      </c>
      <c r="N172" s="14"/>
      <c r="O172" s="15"/>
      <c r="P172" s="17" t="str">
        <f>IF(N172&gt;0,(N172*VLOOKUP(Lookups!$K$11,Lookups!$M$10:$P$43,4,0)/VLOOKUP(O172,Lookups!$M$10:$P$43,4,0)),"")</f>
        <v/>
      </c>
      <c r="Q172" s="143" t="s">
        <v>1982</v>
      </c>
      <c r="R172" s="15" t="s">
        <v>149</v>
      </c>
      <c r="S172" s="140" t="s">
        <v>2231</v>
      </c>
      <c r="T172" s="176"/>
      <c r="U172" s="4"/>
    </row>
    <row r="173" spans="1:21" s="36" customFormat="1" ht="60" hidden="1" customHeight="1" outlineLevel="1" x14ac:dyDescent="0.25">
      <c r="A173" s="42" t="s">
        <v>219</v>
      </c>
      <c r="B173" s="42" t="s">
        <v>1979</v>
      </c>
      <c r="C173" s="42" t="s">
        <v>2979</v>
      </c>
      <c r="D173" s="42" t="s">
        <v>1985</v>
      </c>
      <c r="E173" s="12" t="s">
        <v>1981</v>
      </c>
      <c r="F173" s="12" t="s">
        <v>668</v>
      </c>
      <c r="G173" s="12" t="s">
        <v>243</v>
      </c>
      <c r="H173" s="14"/>
      <c r="I173" s="15"/>
      <c r="J173" s="17" t="str">
        <f>IF(H173&gt;0,(H173*VLOOKUP(Lookups!$K$11,Lookups!$M$10:$P$43,4,0)/VLOOKUP(I173,Lookups!$M$10:$P$43,4,0)),"")</f>
        <v/>
      </c>
      <c r="K173" s="14">
        <v>206</v>
      </c>
      <c r="L173" s="15" t="s">
        <v>188</v>
      </c>
      <c r="M173" s="17">
        <f>IF(K173&gt;0,(K173*VLOOKUP(Lookups!$K$11,Lookups!$M$10:$P$43,4,0)/VLOOKUP(L173,Lookups!$M$10:$P$43,4,0)),"")</f>
        <v>321.39059492752835</v>
      </c>
      <c r="N173" s="14"/>
      <c r="O173" s="15"/>
      <c r="P173" s="17" t="str">
        <f>IF(N173&gt;0,(N173*VLOOKUP(Lookups!$K$11,Lookups!$M$10:$P$43,4,0)/VLOOKUP(O173,Lookups!$M$10:$P$43,4,0)),"")</f>
        <v/>
      </c>
      <c r="Q173" s="143" t="s">
        <v>1982</v>
      </c>
      <c r="R173" s="15" t="s">
        <v>149</v>
      </c>
      <c r="S173" s="140" t="s">
        <v>2232</v>
      </c>
      <c r="T173" s="176"/>
      <c r="U173" s="4"/>
    </row>
    <row r="174" spans="1:21" s="36" customFormat="1" ht="60" hidden="1" customHeight="1" outlineLevel="1" x14ac:dyDescent="0.25">
      <c r="A174" s="42" t="s">
        <v>219</v>
      </c>
      <c r="B174" s="42" t="s">
        <v>1979</v>
      </c>
      <c r="C174" s="42" t="s">
        <v>2980</v>
      </c>
      <c r="D174" s="42" t="s">
        <v>1986</v>
      </c>
      <c r="E174" s="12" t="s">
        <v>167</v>
      </c>
      <c r="F174" s="12" t="s">
        <v>668</v>
      </c>
      <c r="G174" s="12" t="s">
        <v>243</v>
      </c>
      <c r="H174" s="14"/>
      <c r="I174" s="15"/>
      <c r="J174" s="17" t="str">
        <f>IF(H174&gt;0,(H174*VLOOKUP(Lookups!$K$11,Lookups!$M$10:$P$43,4,0)/VLOOKUP(I174,Lookups!$M$10:$P$43,4,0)),"")</f>
        <v/>
      </c>
      <c r="K174" s="14">
        <v>2443</v>
      </c>
      <c r="L174" s="15" t="s">
        <v>188</v>
      </c>
      <c r="M174" s="17">
        <f>IF(K174&gt;0,(K174*VLOOKUP(Lookups!$K$11,Lookups!$M$10:$P$43,4,0)/VLOOKUP(L174,Lookups!$M$10:$P$43,4,0)),"")</f>
        <v>3811.4428320774355</v>
      </c>
      <c r="N174" s="14"/>
      <c r="O174" s="15"/>
      <c r="P174" s="17" t="str">
        <f>IF(N174&gt;0,(N174*VLOOKUP(Lookups!$K$11,Lookups!$M$10:$P$43,4,0)/VLOOKUP(O174,Lookups!$M$10:$P$43,4,0)),"")</f>
        <v/>
      </c>
      <c r="Q174" s="143" t="s">
        <v>1987</v>
      </c>
      <c r="R174" s="15" t="s">
        <v>149</v>
      </c>
      <c r="S174" s="140" t="s">
        <v>2233</v>
      </c>
      <c r="T174" s="176"/>
      <c r="U174" s="4"/>
    </row>
    <row r="175" spans="1:21" s="36" customFormat="1" ht="60" customHeight="1" collapsed="1" x14ac:dyDescent="0.25">
      <c r="A175" s="38" t="s">
        <v>219</v>
      </c>
      <c r="B175" s="38" t="s">
        <v>137</v>
      </c>
      <c r="C175" s="38" t="s">
        <v>762</v>
      </c>
      <c r="D175" s="38" t="s">
        <v>703</v>
      </c>
      <c r="E175" s="12" t="s">
        <v>626</v>
      </c>
      <c r="F175" s="12" t="s">
        <v>162</v>
      </c>
      <c r="G175" s="12" t="s">
        <v>2692</v>
      </c>
      <c r="H175" s="14">
        <v>1800</v>
      </c>
      <c r="I175" s="15" t="s">
        <v>195</v>
      </c>
      <c r="J175" s="17">
        <f>IF(H175&gt;0,(H175*VLOOKUP(Lookups!$K$11,Lookups!$M$10:$P$43,4,0)/VLOOKUP(I175,Lookups!$M$10:$P$43,4,0)),"")</f>
        <v>2333.6043526622007</v>
      </c>
      <c r="K175" s="14"/>
      <c r="L175" s="15"/>
      <c r="M175" s="17" t="str">
        <f>IF(K175&gt;0,(K175*VLOOKUP(Lookups!$K$11,Lookups!$M$10:$P$43,4,0)/VLOOKUP(L175,Lookups!$M$10:$P$43,4,0)),"")</f>
        <v/>
      </c>
      <c r="N175" s="14">
        <v>1398</v>
      </c>
      <c r="O175" s="15" t="s">
        <v>195</v>
      </c>
      <c r="P175" s="17">
        <f>IF(N175&gt;0,(N175*VLOOKUP(Lookups!$K$11,Lookups!$M$10:$P$43,4,0)/VLOOKUP(O175,Lookups!$M$10:$P$43,4,0)),"")</f>
        <v>1812.4327139009758</v>
      </c>
      <c r="Q175" s="81" t="s">
        <v>702</v>
      </c>
      <c r="R175" s="88" t="s">
        <v>149</v>
      </c>
      <c r="S175" s="12" t="s">
        <v>993</v>
      </c>
      <c r="T175" s="176"/>
      <c r="U175" s="4"/>
    </row>
    <row r="176" spans="1:21" s="53" customFormat="1" ht="60" hidden="1" customHeight="1" outlineLevel="1" x14ac:dyDescent="0.25">
      <c r="A176" s="50" t="s">
        <v>219</v>
      </c>
      <c r="B176" s="50" t="s">
        <v>137</v>
      </c>
      <c r="C176" s="50" t="s">
        <v>2981</v>
      </c>
      <c r="D176" s="50" t="s">
        <v>22</v>
      </c>
      <c r="E176" s="4" t="s">
        <v>278</v>
      </c>
      <c r="F176" s="4" t="s">
        <v>162</v>
      </c>
      <c r="G176" s="4" t="s">
        <v>2692</v>
      </c>
      <c r="H176" s="193">
        <v>374.24</v>
      </c>
      <c r="I176" s="181" t="s">
        <v>1520</v>
      </c>
      <c r="J176" s="221">
        <f>IF(H176&gt;0,(H176*VLOOKUP(Lookups!$K$11,Lookups!$M$10:$P$43,4,0)/VLOOKUP(I176,Lookups!$M$10:$P$43,4,0)),"")</f>
        <v>385.43839180737297</v>
      </c>
      <c r="K176" s="11"/>
      <c r="L176" s="181"/>
      <c r="M176" s="221" t="str">
        <f>IF(K176&gt;0,(K176*VLOOKUP(Lookups!$K$11,Lookups!$M$10:$P$43,4,0)/VLOOKUP(L176,Lookups!$M$10:$P$43,4,0)),"")</f>
        <v/>
      </c>
      <c r="N176" s="11"/>
      <c r="O176" s="181"/>
      <c r="P176" s="221" t="str">
        <f>IF(N176&gt;0,(N176*VLOOKUP(Lookups!$K$11,Lookups!$M$10:$P$43,4,0)/VLOOKUP(O176,Lookups!$M$10:$P$43,4,0)),"")</f>
        <v/>
      </c>
      <c r="Q176" s="173" t="s">
        <v>3234</v>
      </c>
      <c r="R176" s="181" t="s">
        <v>152</v>
      </c>
      <c r="S176" s="174" t="s">
        <v>2826</v>
      </c>
      <c r="T176" s="176" t="s">
        <v>923</v>
      </c>
      <c r="U176" s="4" t="s">
        <v>2827</v>
      </c>
    </row>
    <row r="177" spans="1:21" s="53" customFormat="1" ht="60" hidden="1" customHeight="1" outlineLevel="1" x14ac:dyDescent="0.25">
      <c r="A177" s="50" t="s">
        <v>219</v>
      </c>
      <c r="B177" s="50" t="s">
        <v>137</v>
      </c>
      <c r="C177" s="50" t="s">
        <v>2039</v>
      </c>
      <c r="D177" s="50" t="s">
        <v>24</v>
      </c>
      <c r="E177" s="4" t="s">
        <v>705</v>
      </c>
      <c r="F177" s="4" t="s">
        <v>162</v>
      </c>
      <c r="G177" s="4" t="s">
        <v>2692</v>
      </c>
      <c r="H177" s="193">
        <v>96.25</v>
      </c>
      <c r="I177" s="181" t="s">
        <v>1520</v>
      </c>
      <c r="J177" s="221">
        <f>IF(H177&gt;0,(H177*VLOOKUP(Lookups!$K$11,Lookups!$M$10:$P$43,4,0)/VLOOKUP(I177,Lookups!$M$10:$P$43,4,0)),"")</f>
        <v>99.130090881412059</v>
      </c>
      <c r="K177" s="11"/>
      <c r="L177" s="181"/>
      <c r="M177" s="221" t="str">
        <f>IF(K177&gt;0,(K177*VLOOKUP(Lookups!$K$11,Lookups!$M$10:$P$43,4,0)/VLOOKUP(L177,Lookups!$M$10:$P$43,4,0)),"")</f>
        <v/>
      </c>
      <c r="N177" s="11"/>
      <c r="O177" s="181"/>
      <c r="P177" s="221" t="str">
        <f>IF(N177&gt;0,(N177*VLOOKUP(Lookups!$K$11,Lookups!$M$10:$P$43,4,0)/VLOOKUP(O177,Lookups!$M$10:$P$43,4,0)),"")</f>
        <v/>
      </c>
      <c r="Q177" s="173" t="s">
        <v>3235</v>
      </c>
      <c r="R177" s="181" t="s">
        <v>152</v>
      </c>
      <c r="S177" s="174" t="s">
        <v>2828</v>
      </c>
      <c r="T177" s="176" t="s">
        <v>923</v>
      </c>
      <c r="U177" s="4" t="s">
        <v>2827</v>
      </c>
    </row>
    <row r="178" spans="1:21" s="53" customFormat="1" ht="60" hidden="1" customHeight="1" outlineLevel="1" x14ac:dyDescent="0.25">
      <c r="A178" s="50" t="s">
        <v>219</v>
      </c>
      <c r="B178" s="50" t="s">
        <v>137</v>
      </c>
      <c r="C178" s="50" t="s">
        <v>2982</v>
      </c>
      <c r="D178" s="50" t="s">
        <v>25</v>
      </c>
      <c r="E178" s="4" t="s">
        <v>26</v>
      </c>
      <c r="F178" s="4" t="s">
        <v>162</v>
      </c>
      <c r="G178" s="4" t="s">
        <v>2692</v>
      </c>
      <c r="H178" s="193">
        <v>91.84</v>
      </c>
      <c r="I178" s="181" t="s">
        <v>1520</v>
      </c>
      <c r="J178" s="221">
        <f>IF(H178&gt;0,(H178*VLOOKUP(Lookups!$K$11,Lookups!$M$10:$P$43,4,0)/VLOOKUP(I178,Lookups!$M$10:$P$43,4,0)),"")</f>
        <v>94.588130353754622</v>
      </c>
      <c r="K178" s="11"/>
      <c r="L178" s="181"/>
      <c r="M178" s="221" t="str">
        <f>IF(K178&gt;0,(K178*VLOOKUP(Lookups!$K$11,Lookups!$M$10:$P$43,4,0)/VLOOKUP(L178,Lookups!$M$10:$P$43,4,0)),"")</f>
        <v/>
      </c>
      <c r="N178" s="11"/>
      <c r="O178" s="181"/>
      <c r="P178" s="221" t="str">
        <f>IF(N178&gt;0,(N178*VLOOKUP(Lookups!$K$11,Lookups!$M$10:$P$43,4,0)/VLOOKUP(O178,Lookups!$M$10:$P$43,4,0)),"")</f>
        <v/>
      </c>
      <c r="Q178" s="173" t="s">
        <v>3236</v>
      </c>
      <c r="R178" s="181" t="s">
        <v>152</v>
      </c>
      <c r="S178" s="174" t="s">
        <v>2829</v>
      </c>
      <c r="T178" s="176" t="s">
        <v>923</v>
      </c>
      <c r="U178" s="4" t="s">
        <v>2827</v>
      </c>
    </row>
    <row r="179" spans="1:21" s="53" customFormat="1" ht="60" hidden="1" customHeight="1" outlineLevel="1" x14ac:dyDescent="0.25">
      <c r="A179" s="50" t="s">
        <v>219</v>
      </c>
      <c r="B179" s="50" t="s">
        <v>137</v>
      </c>
      <c r="C179" s="50" t="s">
        <v>2983</v>
      </c>
      <c r="D179" s="50" t="s">
        <v>27</v>
      </c>
      <c r="E179" s="4" t="s">
        <v>26</v>
      </c>
      <c r="F179" s="4" t="s">
        <v>162</v>
      </c>
      <c r="G179" s="4" t="s">
        <v>2692</v>
      </c>
      <c r="H179" s="193">
        <v>220.5</v>
      </c>
      <c r="I179" s="181" t="s">
        <v>1520</v>
      </c>
      <c r="J179" s="221">
        <f>IF(H179&gt;0,(H179*VLOOKUP(Lookups!$K$11,Lookups!$M$10:$P$43,4,0)/VLOOKUP(I179,Lookups!$M$10:$P$43,4,0)),"")</f>
        <v>227.09802638287127</v>
      </c>
      <c r="K179" s="11"/>
      <c r="L179" s="181"/>
      <c r="M179" s="221" t="str">
        <f>IF(K179&gt;0,(K179*VLOOKUP(Lookups!$K$11,Lookups!$M$10:$P$43,4,0)/VLOOKUP(L179,Lookups!$M$10:$P$43,4,0)),"")</f>
        <v/>
      </c>
      <c r="N179" s="11"/>
      <c r="O179" s="181"/>
      <c r="P179" s="221" t="str">
        <f>IF(N179&gt;0,(N179*VLOOKUP(Lookups!$K$11,Lookups!$M$10:$P$43,4,0)/VLOOKUP(O179,Lookups!$M$10:$P$43,4,0)),"")</f>
        <v/>
      </c>
      <c r="Q179" s="173" t="s">
        <v>3237</v>
      </c>
      <c r="R179" s="181" t="s">
        <v>152</v>
      </c>
      <c r="S179" s="174" t="s">
        <v>2830</v>
      </c>
      <c r="T179" s="176" t="s">
        <v>923</v>
      </c>
      <c r="U179" s="4" t="s">
        <v>2827</v>
      </c>
    </row>
    <row r="180" spans="1:21" s="36" customFormat="1" ht="60" hidden="1" customHeight="1" outlineLevel="1" x14ac:dyDescent="0.25">
      <c r="A180" s="42" t="s">
        <v>219</v>
      </c>
      <c r="B180" s="42" t="s">
        <v>137</v>
      </c>
      <c r="C180" s="42" t="s">
        <v>2984</v>
      </c>
      <c r="D180" s="42" t="s">
        <v>362</v>
      </c>
      <c r="E180" s="13" t="s">
        <v>163</v>
      </c>
      <c r="F180" s="4" t="s">
        <v>162</v>
      </c>
      <c r="G180" s="12" t="s">
        <v>2692</v>
      </c>
      <c r="H180" s="11">
        <v>154</v>
      </c>
      <c r="I180" s="15" t="s">
        <v>258</v>
      </c>
      <c r="J180" s="17">
        <f>IF(H180&gt;0,(H180*VLOOKUP(Lookups!$K$11,Lookups!$M$10:$P$43,4,0)/VLOOKUP(I180,Lookups!$M$10:$P$43,4,0)),"")</f>
        <v>178.15987121547272</v>
      </c>
      <c r="K180" s="11"/>
      <c r="L180" s="15"/>
      <c r="M180" s="17" t="str">
        <f>IF(K180&gt;0,(K180*VLOOKUP(Lookups!$K$11,Lookups!$M$10:$P$43,4,0)/VLOOKUP(L180,Lookups!$M$10:$P$43,4,0)),"")</f>
        <v/>
      </c>
      <c r="N180" s="11"/>
      <c r="O180" s="15"/>
      <c r="P180" s="17" t="str">
        <f>IF(N180&gt;0,(N180*VLOOKUP(Lookups!$K$11,Lookups!$M$10:$P$43,4,0)/VLOOKUP(O180,Lookups!$M$10:$P$43,4,0)),"")</f>
        <v/>
      </c>
      <c r="Q180" s="173" t="s">
        <v>1963</v>
      </c>
      <c r="R180" s="15" t="s">
        <v>152</v>
      </c>
      <c r="S180" s="4" t="s">
        <v>1962</v>
      </c>
      <c r="T180" s="176"/>
      <c r="U180" s="90"/>
    </row>
    <row r="181" spans="1:21" s="54" customFormat="1" ht="60" hidden="1" customHeight="1" outlineLevel="1" x14ac:dyDescent="0.25">
      <c r="A181" s="50" t="s">
        <v>219</v>
      </c>
      <c r="B181" s="50" t="s">
        <v>137</v>
      </c>
      <c r="C181" s="50" t="s">
        <v>2985</v>
      </c>
      <c r="D181" s="50" t="s">
        <v>2110</v>
      </c>
      <c r="E181" s="90" t="s">
        <v>655</v>
      </c>
      <c r="F181" s="90" t="s">
        <v>162</v>
      </c>
      <c r="G181" s="90" t="s">
        <v>2692</v>
      </c>
      <c r="H181" s="193">
        <v>425.63</v>
      </c>
      <c r="I181" s="181" t="s">
        <v>1520</v>
      </c>
      <c r="J181" s="221">
        <f>IF(H181&gt;0,(H181*VLOOKUP(Lookups!$K$11,Lookups!$M$10:$P$43,4,0)/VLOOKUP(I181,Lookups!$M$10:$P$43,4,0)),"")</f>
        <v>438.36613591538094</v>
      </c>
      <c r="K181" s="165"/>
      <c r="L181" s="181"/>
      <c r="M181" s="221" t="str">
        <f>IF(K181&gt;0,(K181*VLOOKUP(Lookups!$K$11,Lookups!$M$10:$P$43,4,0)/VLOOKUP(L181,Lookups!$M$10:$P$43,4,0)),"")</f>
        <v/>
      </c>
      <c r="N181" s="165"/>
      <c r="O181" s="181"/>
      <c r="P181" s="221" t="str">
        <f>IF(N181&gt;0,(N181*VLOOKUP(Lookups!$K$11,Lookups!$M$10:$P$43,4,0)/VLOOKUP(O181,Lookups!$M$10:$P$43,4,0)),"")</f>
        <v/>
      </c>
      <c r="Q181" s="173" t="s">
        <v>3238</v>
      </c>
      <c r="R181" s="181" t="s">
        <v>154</v>
      </c>
      <c r="S181" s="174" t="s">
        <v>2831</v>
      </c>
      <c r="T181" s="181" t="s">
        <v>923</v>
      </c>
      <c r="U181" s="4" t="s">
        <v>2827</v>
      </c>
    </row>
    <row r="182" spans="1:21" s="36" customFormat="1" ht="60" hidden="1" customHeight="1" outlineLevel="1" x14ac:dyDescent="0.25">
      <c r="A182" s="42" t="s">
        <v>219</v>
      </c>
      <c r="B182" s="42" t="s">
        <v>137</v>
      </c>
      <c r="C182" s="42" t="s">
        <v>2986</v>
      </c>
      <c r="D182" s="42" t="s">
        <v>363</v>
      </c>
      <c r="E182" s="13" t="s">
        <v>164</v>
      </c>
      <c r="F182" s="4" t="s">
        <v>162</v>
      </c>
      <c r="G182" s="4" t="s">
        <v>667</v>
      </c>
      <c r="H182" s="11">
        <v>688</v>
      </c>
      <c r="I182" s="15" t="s">
        <v>258</v>
      </c>
      <c r="J182" s="17">
        <f>IF(H182&gt;0,(H182*VLOOKUP(Lookups!$K$11,Lookups!$M$10:$P$43,4,0)/VLOOKUP(I182,Lookups!$M$10:$P$43,4,0)),"")</f>
        <v>795.93500906652753</v>
      </c>
      <c r="K182" s="11"/>
      <c r="L182" s="15"/>
      <c r="M182" s="17" t="str">
        <f>IF(K182&gt;0,(K182*VLOOKUP(Lookups!$K$11,Lookups!$M$10:$P$43,4,0)/VLOOKUP(L182,Lookups!$M$10:$P$43,4,0)),"")</f>
        <v/>
      </c>
      <c r="N182" s="11"/>
      <c r="O182" s="15"/>
      <c r="P182" s="17" t="str">
        <f>IF(N182&gt;0,(N182*VLOOKUP(Lookups!$K$11,Lookups!$M$10:$P$43,4,0)/VLOOKUP(O182,Lookups!$M$10:$P$43,4,0)),"")</f>
        <v/>
      </c>
      <c r="Q182" s="173" t="s">
        <v>1964</v>
      </c>
      <c r="R182" s="15" t="s">
        <v>152</v>
      </c>
      <c r="S182" s="12" t="s">
        <v>1191</v>
      </c>
      <c r="T182" s="176"/>
      <c r="U182" s="90"/>
    </row>
    <row r="183" spans="1:21" s="36" customFormat="1" ht="60" hidden="1" customHeight="1" outlineLevel="1" x14ac:dyDescent="0.25">
      <c r="A183" s="42" t="s">
        <v>219</v>
      </c>
      <c r="B183" s="42" t="s">
        <v>137</v>
      </c>
      <c r="C183" s="42" t="s">
        <v>2987</v>
      </c>
      <c r="D183" s="42" t="s">
        <v>359</v>
      </c>
      <c r="E183" s="12" t="s">
        <v>656</v>
      </c>
      <c r="F183" s="12" t="s">
        <v>162</v>
      </c>
      <c r="G183" s="12" t="s">
        <v>2692</v>
      </c>
      <c r="H183" s="46">
        <v>741.67</v>
      </c>
      <c r="I183" s="15" t="s">
        <v>195</v>
      </c>
      <c r="J183" s="17">
        <f>IF(H183&gt;0,(H183*VLOOKUP(Lookups!$K$11,Lookups!$M$10:$P$43,4,0)/VLOOKUP(I183,Lookups!$M$10:$P$43,4,0)),"")</f>
        <v>961.53574457720799</v>
      </c>
      <c r="K183" s="46"/>
      <c r="L183" s="15"/>
      <c r="M183" s="17" t="str">
        <f>IF(K183&gt;0,(K183*VLOOKUP(Lookups!$K$11,Lookups!$M$10:$P$43,4,0)/VLOOKUP(L183,Lookups!$M$10:$P$43,4,0)),"")</f>
        <v/>
      </c>
      <c r="N183" s="46"/>
      <c r="O183" s="15"/>
      <c r="P183" s="17" t="str">
        <f>IF(N183&gt;0,(N183*VLOOKUP(Lookups!$K$11,Lookups!$M$10:$P$43,4,0)/VLOOKUP(O183,Lookups!$M$10:$P$43,4,0)),"")</f>
        <v/>
      </c>
      <c r="Q183" s="143" t="s">
        <v>412</v>
      </c>
      <c r="R183" s="15" t="s">
        <v>149</v>
      </c>
      <c r="S183" s="12" t="s">
        <v>358</v>
      </c>
      <c r="T183" s="176"/>
      <c r="U183" s="4"/>
    </row>
    <row r="184" spans="1:21" s="36" customFormat="1" ht="60" hidden="1" customHeight="1" outlineLevel="1" x14ac:dyDescent="0.25">
      <c r="A184" s="42" t="s">
        <v>219</v>
      </c>
      <c r="B184" s="42" t="s">
        <v>137</v>
      </c>
      <c r="C184" s="42" t="s">
        <v>2988</v>
      </c>
      <c r="D184" s="42" t="s">
        <v>360</v>
      </c>
      <c r="E184" s="12" t="s">
        <v>656</v>
      </c>
      <c r="F184" s="12" t="s">
        <v>162</v>
      </c>
      <c r="G184" s="12" t="s">
        <v>2692</v>
      </c>
      <c r="H184" s="46">
        <v>431.33</v>
      </c>
      <c r="I184" s="15" t="s">
        <v>195</v>
      </c>
      <c r="J184" s="17">
        <f>IF(H184&gt;0,(H184*VLOOKUP(Lookups!$K$11,Lookups!$M$10:$P$43,4,0)/VLOOKUP(I184,Lookups!$M$10:$P$43,4,0)),"")</f>
        <v>559.19642524099277</v>
      </c>
      <c r="K184" s="46"/>
      <c r="L184" s="15"/>
      <c r="M184" s="17" t="str">
        <f>IF(K184&gt;0,(K184*VLOOKUP(Lookups!$K$11,Lookups!$M$10:$P$43,4,0)/VLOOKUP(L184,Lookups!$M$10:$P$43,4,0)),"")</f>
        <v/>
      </c>
      <c r="N184" s="46"/>
      <c r="O184" s="15"/>
      <c r="P184" s="17" t="str">
        <f>IF(N184&gt;0,(N184*VLOOKUP(Lookups!$K$11,Lookups!$M$10:$P$43,4,0)/VLOOKUP(O184,Lookups!$M$10:$P$43,4,0)),"")</f>
        <v/>
      </c>
      <c r="Q184" s="143" t="s">
        <v>413</v>
      </c>
      <c r="R184" s="15" t="s">
        <v>149</v>
      </c>
      <c r="S184" s="12" t="s">
        <v>365</v>
      </c>
      <c r="T184" s="176"/>
      <c r="U184" s="4"/>
    </row>
    <row r="185" spans="1:21" s="204" customFormat="1" ht="60" hidden="1" customHeight="1" outlineLevel="1" x14ac:dyDescent="0.25">
      <c r="A185" s="50" t="s">
        <v>219</v>
      </c>
      <c r="B185" s="50" t="s">
        <v>137</v>
      </c>
      <c r="C185" s="50" t="s">
        <v>2989</v>
      </c>
      <c r="D185" s="50" t="s">
        <v>2205</v>
      </c>
      <c r="E185" s="4" t="s">
        <v>161</v>
      </c>
      <c r="F185" s="4" t="s">
        <v>162</v>
      </c>
      <c r="G185" s="4" t="s">
        <v>2692</v>
      </c>
      <c r="H185" s="193">
        <v>51</v>
      </c>
      <c r="I185" s="181" t="s">
        <v>1520</v>
      </c>
      <c r="J185" s="221">
        <f>IF(H185&gt;0,(H185*VLOOKUP(Lookups!$K$11,Lookups!$M$10:$P$43,4,0)/VLOOKUP(I185,Lookups!$M$10:$P$43,4,0)),"")</f>
        <v>52.52607412937158</v>
      </c>
      <c r="K185" s="11"/>
      <c r="L185" s="181"/>
      <c r="M185" s="221" t="str">
        <f>IF(K185&gt;0,(K185*VLOOKUP(Lookups!$K$11,Lookups!$M$10:$P$43,4,0)/VLOOKUP(L185,Lookups!$M$10:$P$43,4,0)),"")</f>
        <v/>
      </c>
      <c r="N185" s="11"/>
      <c r="O185" s="181"/>
      <c r="P185" s="221" t="str">
        <f>IF(N185&gt;0,(N185*VLOOKUP(Lookups!$K$11,Lookups!$M$10:$P$43,4,0)/VLOOKUP(O185,Lookups!$M$10:$P$43,4,0)),"")</f>
        <v/>
      </c>
      <c r="Q185" s="173" t="s">
        <v>2409</v>
      </c>
      <c r="R185" s="181" t="s">
        <v>154</v>
      </c>
      <c r="S185" s="174" t="s">
        <v>2406</v>
      </c>
      <c r="T185" s="176" t="s">
        <v>923</v>
      </c>
      <c r="U185" s="90" t="s">
        <v>2407</v>
      </c>
    </row>
    <row r="186" spans="1:21" s="36" customFormat="1" ht="60" hidden="1" customHeight="1" outlineLevel="1" x14ac:dyDescent="0.25">
      <c r="A186" s="42" t="s">
        <v>219</v>
      </c>
      <c r="B186" s="42" t="s">
        <v>137</v>
      </c>
      <c r="C186" s="42" t="s">
        <v>2990</v>
      </c>
      <c r="D186" s="42" t="s">
        <v>361</v>
      </c>
      <c r="E186" s="12" t="s">
        <v>156</v>
      </c>
      <c r="F186" s="12" t="s">
        <v>162</v>
      </c>
      <c r="G186" s="12" t="s">
        <v>2692</v>
      </c>
      <c r="H186" s="172">
        <v>43</v>
      </c>
      <c r="I186" s="15" t="s">
        <v>261</v>
      </c>
      <c r="J186" s="17">
        <f>IF(H186&gt;0,(H186*VLOOKUP(Lookups!$K$11,Lookups!$M$10:$P$43,4,0)/VLOOKUP(I186,Lookups!$M$10:$P$43,4,0)),"")</f>
        <v>46.871282215421168</v>
      </c>
      <c r="K186" s="14"/>
      <c r="L186" s="15"/>
      <c r="M186" s="17" t="str">
        <f>IF(K186&gt;0,(K186*VLOOKUP(Lookups!$K$11,Lookups!$M$10:$P$43,4,0)/VLOOKUP(L186,Lookups!$M$10:$P$43,4,0)),"")</f>
        <v/>
      </c>
      <c r="N186" s="14"/>
      <c r="O186" s="15"/>
      <c r="P186" s="17" t="str">
        <f>IF(N186&gt;0,(N186*VLOOKUP(Lookups!$K$11,Lookups!$M$10:$P$43,4,0)/VLOOKUP(O186,Lookups!$M$10:$P$43,4,0)),"")</f>
        <v/>
      </c>
      <c r="Q186" s="173" t="s">
        <v>2109</v>
      </c>
      <c r="R186" s="15" t="s">
        <v>154</v>
      </c>
      <c r="S186" s="107" t="s">
        <v>2206</v>
      </c>
      <c r="T186" s="176" t="s">
        <v>923</v>
      </c>
      <c r="U186" s="90" t="s">
        <v>2190</v>
      </c>
    </row>
    <row r="187" spans="1:21" s="36" customFormat="1" ht="60" hidden="1" customHeight="1" outlineLevel="1" x14ac:dyDescent="0.25">
      <c r="A187" s="42" t="s">
        <v>219</v>
      </c>
      <c r="B187" s="42" t="s">
        <v>137</v>
      </c>
      <c r="C187" s="42" t="s">
        <v>2991</v>
      </c>
      <c r="D187" s="42" t="s">
        <v>364</v>
      </c>
      <c r="E187" s="12" t="s">
        <v>156</v>
      </c>
      <c r="F187" s="12" t="s">
        <v>162</v>
      </c>
      <c r="G187" s="12" t="s">
        <v>2692</v>
      </c>
      <c r="H187" s="172">
        <v>23</v>
      </c>
      <c r="I187" s="15" t="s">
        <v>261</v>
      </c>
      <c r="J187" s="17">
        <f>IF(H187&gt;0,(H187*VLOOKUP(Lookups!$K$11,Lookups!$M$10:$P$43,4,0)/VLOOKUP(I187,Lookups!$M$10:$P$43,4,0)),"")</f>
        <v>25.070685836155508</v>
      </c>
      <c r="K187" s="14"/>
      <c r="L187" s="15"/>
      <c r="M187" s="17" t="str">
        <f>IF(K187&gt;0,(K187*VLOOKUP(Lookups!$K$11,Lookups!$M$10:$P$43,4,0)/VLOOKUP(L187,Lookups!$M$10:$P$43,4,0)),"")</f>
        <v/>
      </c>
      <c r="N187" s="14"/>
      <c r="O187" s="15"/>
      <c r="P187" s="17" t="str">
        <f>IF(N187&gt;0,(N187*VLOOKUP(Lookups!$K$11,Lookups!$M$10:$P$43,4,0)/VLOOKUP(O187,Lookups!$M$10:$P$43,4,0)),"")</f>
        <v/>
      </c>
      <c r="Q187" s="173" t="s">
        <v>2117</v>
      </c>
      <c r="R187" s="15" t="s">
        <v>154</v>
      </c>
      <c r="S187" s="107" t="s">
        <v>2207</v>
      </c>
      <c r="T187" s="176" t="s">
        <v>923</v>
      </c>
      <c r="U187" s="90" t="s">
        <v>2190</v>
      </c>
    </row>
    <row r="188" spans="1:21" s="78" customFormat="1" ht="60" customHeight="1" collapsed="1" x14ac:dyDescent="0.25">
      <c r="A188" s="40" t="s">
        <v>219</v>
      </c>
      <c r="B188" s="40" t="s">
        <v>138</v>
      </c>
      <c r="C188" s="40" t="s">
        <v>763</v>
      </c>
      <c r="D188" s="40" t="s">
        <v>2</v>
      </c>
      <c r="E188" s="34" t="s">
        <v>167</v>
      </c>
      <c r="F188" s="34" t="s">
        <v>147</v>
      </c>
      <c r="G188" s="34" t="s">
        <v>162</v>
      </c>
      <c r="H188" s="77">
        <v>3614</v>
      </c>
      <c r="I188" s="15" t="s">
        <v>255</v>
      </c>
      <c r="J188" s="17">
        <f>IF(H188&gt;0,(H188*VLOOKUP(Lookups!$K$11,Lookups!$M$10:$P$43,4,0)/VLOOKUP(I188,Lookups!$M$10:$P$43,4,0)),"")</f>
        <v>4350.5454289002955</v>
      </c>
      <c r="K188" s="77">
        <v>8954</v>
      </c>
      <c r="L188" s="15" t="s">
        <v>255</v>
      </c>
      <c r="M188" s="17">
        <f>IF(K188&gt;0,(K188*VLOOKUP(Lookups!$K$11,Lookups!$M$10:$P$43,4,0)/VLOOKUP(L188,Lookups!$M$10:$P$43,4,0)),"")</f>
        <v>10778.855498166364</v>
      </c>
      <c r="N188" s="77">
        <v>3814</v>
      </c>
      <c r="O188" s="15" t="s">
        <v>255</v>
      </c>
      <c r="P188" s="17">
        <f>IF(N188&gt;0,(N188*VLOOKUP(Lookups!$K$11,Lookups!$M$10:$P$43,4,0)/VLOOKUP(O188,Lookups!$M$10:$P$43,4,0)),"")</f>
        <v>4591.3061056518327</v>
      </c>
      <c r="Q188" s="82" t="s">
        <v>18</v>
      </c>
      <c r="R188" s="15" t="s">
        <v>152</v>
      </c>
      <c r="S188" s="34" t="s">
        <v>19</v>
      </c>
      <c r="T188" s="176"/>
      <c r="U188" s="4"/>
    </row>
    <row r="189" spans="1:21" s="78" customFormat="1" ht="60" hidden="1" customHeight="1" outlineLevel="2" x14ac:dyDescent="0.25">
      <c r="A189" s="34" t="s">
        <v>219</v>
      </c>
      <c r="B189" s="34" t="s">
        <v>138</v>
      </c>
      <c r="C189" s="34" t="s">
        <v>2992</v>
      </c>
      <c r="D189" s="41" t="s">
        <v>368</v>
      </c>
      <c r="E189" s="34" t="s">
        <v>167</v>
      </c>
      <c r="F189" s="34" t="s">
        <v>147</v>
      </c>
      <c r="G189" s="34" t="s">
        <v>213</v>
      </c>
      <c r="H189" s="77">
        <v>1408</v>
      </c>
      <c r="I189" s="15" t="s">
        <v>196</v>
      </c>
      <c r="J189" s="17">
        <f>IF(H189&gt;0,(H189*VLOOKUP(Lookups!$K$11,Lookups!$M$10:$P$43,4,0)/VLOOKUP(I189,Lookups!$M$10:$P$43,4,0)),"")</f>
        <v>1795.4562845940959</v>
      </c>
      <c r="K189" s="77">
        <v>2515</v>
      </c>
      <c r="L189" s="15" t="s">
        <v>196</v>
      </c>
      <c r="M189" s="17">
        <f>IF(K189&gt;0,(K189*VLOOKUP(Lookups!$K$11,Lookups!$M$10:$P$43,4,0)/VLOOKUP(L189,Lookups!$M$10:$P$43,4,0)),"")</f>
        <v>3207.0827810753908</v>
      </c>
      <c r="N189" s="77">
        <v>1006</v>
      </c>
      <c r="O189" s="15" t="s">
        <v>196</v>
      </c>
      <c r="P189" s="17">
        <f>IF(N189&gt;0,(N189*VLOOKUP(Lookups!$K$11,Lookups!$M$10:$P$43,4,0)/VLOOKUP(O189,Lookups!$M$10:$P$43,4,0)),"")</f>
        <v>1282.8331124301565</v>
      </c>
      <c r="Q189" s="82" t="s">
        <v>367</v>
      </c>
      <c r="R189" s="15" t="s">
        <v>149</v>
      </c>
      <c r="S189" s="34" t="s">
        <v>966</v>
      </c>
      <c r="T189" s="176"/>
      <c r="U189" s="4"/>
    </row>
    <row r="190" spans="1:21" s="78" customFormat="1" ht="60" hidden="1" customHeight="1" outlineLevel="2" x14ac:dyDescent="0.25">
      <c r="A190" s="34" t="s">
        <v>219</v>
      </c>
      <c r="B190" s="34" t="s">
        <v>138</v>
      </c>
      <c r="C190" s="34" t="s">
        <v>2993</v>
      </c>
      <c r="D190" s="41" t="s">
        <v>369</v>
      </c>
      <c r="E190" s="34" t="s">
        <v>167</v>
      </c>
      <c r="F190" s="34" t="s">
        <v>162</v>
      </c>
      <c r="G190" s="34" t="s">
        <v>207</v>
      </c>
      <c r="H190" s="77">
        <v>101</v>
      </c>
      <c r="I190" s="15" t="s">
        <v>196</v>
      </c>
      <c r="J190" s="17">
        <f>IF(H190&gt;0,(H190*VLOOKUP(Lookups!$K$11,Lookups!$M$10:$P$43,4,0)/VLOOKUP(I190,Lookups!$M$10:$P$43,4,0)),"")</f>
        <v>128.79338405113896</v>
      </c>
      <c r="K190" s="77">
        <v>2515</v>
      </c>
      <c r="L190" s="15" t="s">
        <v>196</v>
      </c>
      <c r="M190" s="17">
        <f>IF(K190&gt;0,(K190*VLOOKUP(Lookups!$K$11,Lookups!$M$10:$P$43,4,0)/VLOOKUP(L190,Lookups!$M$10:$P$43,4,0)),"")</f>
        <v>3207.0827810753908</v>
      </c>
      <c r="N190" s="77">
        <v>1006</v>
      </c>
      <c r="O190" s="15" t="s">
        <v>196</v>
      </c>
      <c r="P190" s="17">
        <f>IF(N190&gt;0,(N190*VLOOKUP(Lookups!$K$11,Lookups!$M$10:$P$43,4,0)/VLOOKUP(O190,Lookups!$M$10:$P$43,4,0)),"")</f>
        <v>1282.8331124301565</v>
      </c>
      <c r="Q190" s="82" t="s">
        <v>367</v>
      </c>
      <c r="R190" s="15" t="s">
        <v>149</v>
      </c>
      <c r="S190" s="34" t="s">
        <v>967</v>
      </c>
      <c r="T190" s="176"/>
      <c r="U190" s="4"/>
    </row>
    <row r="191" spans="1:21" s="78" customFormat="1" ht="60" hidden="1" customHeight="1" outlineLevel="2" x14ac:dyDescent="0.25">
      <c r="A191" s="34" t="s">
        <v>219</v>
      </c>
      <c r="B191" s="34" t="s">
        <v>138</v>
      </c>
      <c r="C191" s="34" t="s">
        <v>2994</v>
      </c>
      <c r="D191" s="41" t="s">
        <v>366</v>
      </c>
      <c r="E191" s="34" t="s">
        <v>167</v>
      </c>
      <c r="F191" s="34" t="s">
        <v>162</v>
      </c>
      <c r="G191" s="34" t="s">
        <v>207</v>
      </c>
      <c r="H191" s="77">
        <f>1686*52/51</f>
        <v>1719.0588235294117</v>
      </c>
      <c r="I191" s="15" t="s">
        <v>192</v>
      </c>
      <c r="J191" s="17">
        <f>IF(H191&gt;0,(H191*VLOOKUP(Lookups!$K$11,Lookups!$M$10:$P$43,4,0)/VLOOKUP(I191,Lookups!$M$10:$P$43,4,0)),"")</f>
        <v>2395.8934612780167</v>
      </c>
      <c r="K191" s="77"/>
      <c r="L191" s="15"/>
      <c r="M191" s="17" t="str">
        <f>IF(K191&gt;0,(K191*VLOOKUP(Lookups!$K$11,Lookups!$M$10:$P$43,4,0)/VLOOKUP(L191,Lookups!$M$10:$P$43,4,0)),"")</f>
        <v/>
      </c>
      <c r="N191" s="77"/>
      <c r="O191" s="15"/>
      <c r="P191" s="17" t="str">
        <f>IF(N191&gt;0,(N191*VLOOKUP(Lookups!$K$11,Lookups!$M$10:$P$43,4,0)/VLOOKUP(O191,Lookups!$M$10:$P$43,4,0)),"")</f>
        <v/>
      </c>
      <c r="Q191" s="117" t="s">
        <v>116</v>
      </c>
      <c r="R191" s="15" t="s">
        <v>149</v>
      </c>
      <c r="S191" s="34" t="s">
        <v>1260</v>
      </c>
      <c r="T191" s="182"/>
      <c r="U191" s="49"/>
    </row>
    <row r="192" spans="1:21" s="78" customFormat="1" ht="60" hidden="1" customHeight="1" outlineLevel="1" collapsed="1" x14ac:dyDescent="0.25">
      <c r="A192" s="42" t="s">
        <v>219</v>
      </c>
      <c r="B192" s="42" t="s">
        <v>138</v>
      </c>
      <c r="C192" s="42" t="s">
        <v>2995</v>
      </c>
      <c r="D192" s="42" t="s">
        <v>123</v>
      </c>
      <c r="E192" s="34" t="s">
        <v>627</v>
      </c>
      <c r="F192" s="34" t="s">
        <v>147</v>
      </c>
      <c r="G192" s="34" t="s">
        <v>162</v>
      </c>
      <c r="H192" s="77">
        <v>2026</v>
      </c>
      <c r="I192" s="15" t="s">
        <v>196</v>
      </c>
      <c r="J192" s="17">
        <f>IF(H192&gt;0,(H192*VLOOKUP(Lookups!$K$11,Lookups!$M$10:$P$43,4,0)/VLOOKUP(I192,Lookups!$M$10:$P$43,4,0)),"")</f>
        <v>2583.5187731446294</v>
      </c>
      <c r="K192" s="77">
        <v>3376</v>
      </c>
      <c r="L192" s="15" t="s">
        <v>196</v>
      </c>
      <c r="M192" s="17">
        <f>IF(K192&gt;0,(K192*VLOOKUP(Lookups!$K$11,Lookups!$M$10:$P$43,4,0)/VLOOKUP(L192,Lookups!$M$10:$P$43,4,0)),"")</f>
        <v>4305.0145005608429</v>
      </c>
      <c r="N192" s="77">
        <v>1350</v>
      </c>
      <c r="O192" s="15" t="s">
        <v>196</v>
      </c>
      <c r="P192" s="17">
        <f>IF(N192&gt;0,(N192*VLOOKUP(Lookups!$K$11,Lookups!$M$10:$P$43,4,0)/VLOOKUP(O192,Lookups!$M$10:$P$43,4,0)),"")</f>
        <v>1721.4957274162139</v>
      </c>
      <c r="Q192" s="82" t="s">
        <v>120</v>
      </c>
      <c r="R192" s="15" t="s">
        <v>149</v>
      </c>
      <c r="S192" s="34" t="s">
        <v>992</v>
      </c>
      <c r="T192" s="176"/>
      <c r="U192" s="4"/>
    </row>
    <row r="193" spans="1:21" s="78" customFormat="1" ht="60" hidden="1" customHeight="1" outlineLevel="2" x14ac:dyDescent="0.25">
      <c r="A193" s="34" t="s">
        <v>219</v>
      </c>
      <c r="B193" s="34" t="s">
        <v>138</v>
      </c>
      <c r="C193" s="34" t="s">
        <v>2996</v>
      </c>
      <c r="D193" s="41" t="s">
        <v>121</v>
      </c>
      <c r="E193" s="34" t="s">
        <v>627</v>
      </c>
      <c r="F193" s="34" t="s">
        <v>147</v>
      </c>
      <c r="G193" s="34" t="s">
        <v>213</v>
      </c>
      <c r="H193" s="77">
        <v>1891</v>
      </c>
      <c r="I193" s="15" t="s">
        <v>196</v>
      </c>
      <c r="J193" s="17">
        <f>IF(H193&gt;0,(H193*VLOOKUP(Lookups!$K$11,Lookups!$M$10:$P$43,4,0)/VLOOKUP(I193,Lookups!$M$10:$P$43,4,0)),"")</f>
        <v>2411.3692004030077</v>
      </c>
      <c r="K193" s="77"/>
      <c r="L193" s="15"/>
      <c r="M193" s="17" t="str">
        <f>IF(K193&gt;0,(K193*VLOOKUP(Lookups!$K$11,Lookups!$M$10:$P$43,4,0)/VLOOKUP(L193,Lookups!$M$10:$P$43,4,0)),"")</f>
        <v/>
      </c>
      <c r="N193" s="77"/>
      <c r="O193" s="15"/>
      <c r="P193" s="17" t="str">
        <f>IF(N193&gt;0,(N193*VLOOKUP(Lookups!$K$11,Lookups!$M$10:$P$43,4,0)/VLOOKUP(O193,Lookups!$M$10:$P$43,4,0)),"")</f>
        <v/>
      </c>
      <c r="Q193" s="82" t="s">
        <v>120</v>
      </c>
      <c r="R193" s="15" t="s">
        <v>149</v>
      </c>
      <c r="S193" s="34" t="s">
        <v>986</v>
      </c>
      <c r="T193" s="182"/>
      <c r="U193" s="49"/>
    </row>
    <row r="194" spans="1:21" s="78" customFormat="1" ht="60" hidden="1" customHeight="1" outlineLevel="2" x14ac:dyDescent="0.25">
      <c r="A194" s="34" t="s">
        <v>219</v>
      </c>
      <c r="B194" s="34" t="s">
        <v>138</v>
      </c>
      <c r="C194" s="34" t="s">
        <v>2997</v>
      </c>
      <c r="D194" s="41" t="s">
        <v>122</v>
      </c>
      <c r="E194" s="34" t="s">
        <v>627</v>
      </c>
      <c r="F194" s="34" t="s">
        <v>162</v>
      </c>
      <c r="G194" s="34" t="s">
        <v>207</v>
      </c>
      <c r="H194" s="77">
        <v>135</v>
      </c>
      <c r="I194" s="15" t="s">
        <v>196</v>
      </c>
      <c r="J194" s="17">
        <f>IF(H194&gt;0,(H194*VLOOKUP(Lookups!$K$11,Lookups!$M$10:$P$43,4,0)/VLOOKUP(I194,Lookups!$M$10:$P$43,4,0)),"")</f>
        <v>172.1495727416214</v>
      </c>
      <c r="K194" s="77"/>
      <c r="L194" s="15"/>
      <c r="M194" s="17" t="str">
        <f>IF(K194&gt;0,(K194*VLOOKUP(Lookups!$K$11,Lookups!$M$10:$P$43,4,0)/VLOOKUP(L194,Lookups!$M$10:$P$43,4,0)),"")</f>
        <v/>
      </c>
      <c r="N194" s="77"/>
      <c r="O194" s="15"/>
      <c r="P194" s="17" t="str">
        <f>IF(N194&gt;0,(N194*VLOOKUP(Lookups!$K$11,Lookups!$M$10:$P$43,4,0)/VLOOKUP(O194,Lookups!$M$10:$P$43,4,0)),"")</f>
        <v/>
      </c>
      <c r="Q194" s="82" t="s">
        <v>120</v>
      </c>
      <c r="R194" s="15" t="s">
        <v>149</v>
      </c>
      <c r="S194" s="34" t="s">
        <v>853</v>
      </c>
      <c r="T194" s="182"/>
      <c r="U194" s="49"/>
    </row>
    <row r="195" spans="1:21" s="78" customFormat="1" ht="60" hidden="1" customHeight="1" outlineLevel="1" x14ac:dyDescent="0.25">
      <c r="A195" s="42" t="s">
        <v>219</v>
      </c>
      <c r="B195" s="42" t="s">
        <v>138</v>
      </c>
      <c r="C195" s="42" t="s">
        <v>2998</v>
      </c>
      <c r="D195" s="42" t="s">
        <v>370</v>
      </c>
      <c r="E195" s="34" t="s">
        <v>167</v>
      </c>
      <c r="F195" s="34" t="s">
        <v>162</v>
      </c>
      <c r="G195" s="34" t="s">
        <v>207</v>
      </c>
      <c r="H195" s="77">
        <v>2604</v>
      </c>
      <c r="I195" s="15" t="s">
        <v>254</v>
      </c>
      <c r="J195" s="17">
        <f>IF(H195&gt;0,(H195*VLOOKUP(Lookups!$K$11,Lookups!$M$10:$P$43,4,0)/VLOOKUP(I195,Lookups!$M$10:$P$43,4,0)),"")</f>
        <v>3206.5066428344535</v>
      </c>
      <c r="K195" s="77"/>
      <c r="L195" s="15"/>
      <c r="M195" s="17" t="str">
        <f>IF(K195&gt;0,(K195*VLOOKUP(Lookups!$K$11,Lookups!$M$10:$P$43,4,0)/VLOOKUP(L195,Lookups!$M$10:$P$43,4,0)),"")</f>
        <v/>
      </c>
      <c r="N195" s="77"/>
      <c r="O195" s="15"/>
      <c r="P195" s="17" t="str">
        <f>IF(N195&gt;0,(N195*VLOOKUP(Lookups!$K$11,Lookups!$M$10:$P$43,4,0)/VLOOKUP(O195,Lookups!$M$10:$P$43,4,0)),"")</f>
        <v/>
      </c>
      <c r="Q195" s="82" t="s">
        <v>371</v>
      </c>
      <c r="R195" s="15" t="s">
        <v>149</v>
      </c>
      <c r="S195" s="34" t="s">
        <v>118</v>
      </c>
      <c r="T195" s="182"/>
      <c r="U195" s="49"/>
    </row>
    <row r="196" spans="1:21" s="53" customFormat="1" ht="60" hidden="1" customHeight="1" outlineLevel="1" x14ac:dyDescent="0.25">
      <c r="A196" s="50" t="s">
        <v>219</v>
      </c>
      <c r="B196" s="50" t="s">
        <v>138</v>
      </c>
      <c r="C196" s="50" t="s">
        <v>2999</v>
      </c>
      <c r="D196" s="50" t="s">
        <v>28</v>
      </c>
      <c r="E196" s="4" t="s">
        <v>278</v>
      </c>
      <c r="F196" s="4" t="s">
        <v>162</v>
      </c>
      <c r="G196" s="4" t="s">
        <v>2692</v>
      </c>
      <c r="H196" s="193">
        <v>758.71</v>
      </c>
      <c r="I196" s="181" t="s">
        <v>1520</v>
      </c>
      <c r="J196" s="221">
        <f>IF(H196&gt;0,(H196*VLOOKUP(Lookups!$K$11,Lookups!$M$10:$P$43,4,0)/VLOOKUP(I196,Lookups!$M$10:$P$43,4,0)),"")</f>
        <v>781.41289613128458</v>
      </c>
      <c r="K196" s="11"/>
      <c r="L196" s="181"/>
      <c r="M196" s="221" t="str">
        <f>IF(K196&gt;0,(K196*VLOOKUP(Lookups!$K$11,Lookups!$M$10:$P$43,4,0)/VLOOKUP(L196,Lookups!$M$10:$P$43,4,0)),"")</f>
        <v/>
      </c>
      <c r="N196" s="11"/>
      <c r="O196" s="181"/>
      <c r="P196" s="221" t="str">
        <f>IF(N196&gt;0,(N196*VLOOKUP(Lookups!$K$11,Lookups!$M$10:$P$43,4,0)/VLOOKUP(O196,Lookups!$M$10:$P$43,4,0)),"")</f>
        <v/>
      </c>
      <c r="Q196" s="173" t="s">
        <v>3239</v>
      </c>
      <c r="R196" s="181" t="s">
        <v>152</v>
      </c>
      <c r="S196" s="174" t="s">
        <v>3044</v>
      </c>
      <c r="T196" s="176" t="s">
        <v>923</v>
      </c>
      <c r="U196" s="4" t="s">
        <v>2827</v>
      </c>
    </row>
    <row r="197" spans="1:21" s="53" customFormat="1" ht="60" hidden="1" customHeight="1" outlineLevel="1" x14ac:dyDescent="0.25">
      <c r="A197" s="50" t="s">
        <v>219</v>
      </c>
      <c r="B197" s="50" t="s">
        <v>138</v>
      </c>
      <c r="C197" s="50" t="s">
        <v>3000</v>
      </c>
      <c r="D197" s="50" t="s">
        <v>29</v>
      </c>
      <c r="E197" s="4" t="s">
        <v>705</v>
      </c>
      <c r="F197" s="4" t="s">
        <v>162</v>
      </c>
      <c r="G197" s="4" t="s">
        <v>2692</v>
      </c>
      <c r="H197" s="193">
        <v>118.83</v>
      </c>
      <c r="I197" s="181" t="s">
        <v>1520</v>
      </c>
      <c r="J197" s="221">
        <f>IF(H197&gt;0,(H197*VLOOKUP(Lookups!$K$11,Lookups!$M$10:$P$43,4,0)/VLOOKUP(I197,Lookups!$M$10:$P$43,4,0)),"")</f>
        <v>122.38575272143578</v>
      </c>
      <c r="K197" s="11"/>
      <c r="L197" s="181"/>
      <c r="M197" s="221" t="str">
        <f>IF(K197&gt;0,(K197*VLOOKUP(Lookups!$K$11,Lookups!$M$10:$P$43,4,0)/VLOOKUP(L197,Lookups!$M$10:$P$43,4,0)),"")</f>
        <v/>
      </c>
      <c r="N197" s="11"/>
      <c r="O197" s="181"/>
      <c r="P197" s="221" t="str">
        <f>IF(N197&gt;0,(N197*VLOOKUP(Lookups!$K$11,Lookups!$M$10:$P$43,4,0)/VLOOKUP(O197,Lookups!$M$10:$P$43,4,0)),"")</f>
        <v/>
      </c>
      <c r="Q197" s="173" t="s">
        <v>3240</v>
      </c>
      <c r="R197" s="181" t="s">
        <v>152</v>
      </c>
      <c r="S197" s="174" t="s">
        <v>3045</v>
      </c>
      <c r="T197" s="176" t="s">
        <v>923</v>
      </c>
      <c r="U197" s="4" t="s">
        <v>2827</v>
      </c>
    </row>
    <row r="198" spans="1:21" s="53" customFormat="1" ht="60" hidden="1" customHeight="1" outlineLevel="1" x14ac:dyDescent="0.25">
      <c r="A198" s="50" t="s">
        <v>219</v>
      </c>
      <c r="B198" s="50" t="s">
        <v>138</v>
      </c>
      <c r="C198" s="50" t="s">
        <v>3001</v>
      </c>
      <c r="D198" s="50" t="s">
        <v>30</v>
      </c>
      <c r="E198" s="4" t="s">
        <v>26</v>
      </c>
      <c r="F198" s="4" t="s">
        <v>162</v>
      </c>
      <c r="G198" s="4" t="s">
        <v>2692</v>
      </c>
      <c r="H198" s="193">
        <v>106.86</v>
      </c>
      <c r="I198" s="181" t="s">
        <v>1520</v>
      </c>
      <c r="J198" s="221">
        <f>IF(H198&gt;0,(H198*VLOOKUP(Lookups!$K$11,Lookups!$M$10:$P$43,4,0)/VLOOKUP(I198,Lookups!$M$10:$P$43,4,0)),"")</f>
        <v>110.05757414636564</v>
      </c>
      <c r="K198" s="11"/>
      <c r="L198" s="181"/>
      <c r="M198" s="221" t="str">
        <f>IF(K198&gt;0,(K198*VLOOKUP(Lookups!$K$11,Lookups!$M$10:$P$43,4,0)/VLOOKUP(L198,Lookups!$M$10:$P$43,4,0)),"")</f>
        <v/>
      </c>
      <c r="N198" s="11"/>
      <c r="O198" s="181"/>
      <c r="P198" s="221" t="str">
        <f>IF(N198&gt;0,(N198*VLOOKUP(Lookups!$K$11,Lookups!$M$10:$P$43,4,0)/VLOOKUP(O198,Lookups!$M$10:$P$43,4,0)),"")</f>
        <v/>
      </c>
      <c r="Q198" s="173" t="s">
        <v>3241</v>
      </c>
      <c r="R198" s="181" t="s">
        <v>152</v>
      </c>
      <c r="S198" s="174" t="s">
        <v>3046</v>
      </c>
      <c r="T198" s="176" t="s">
        <v>923</v>
      </c>
      <c r="U198" s="4" t="s">
        <v>2827</v>
      </c>
    </row>
    <row r="199" spans="1:21" s="53" customFormat="1" ht="60" hidden="1" customHeight="1" outlineLevel="1" x14ac:dyDescent="0.25">
      <c r="A199" s="50" t="s">
        <v>219</v>
      </c>
      <c r="B199" s="50" t="s">
        <v>138</v>
      </c>
      <c r="C199" s="50" t="s">
        <v>3002</v>
      </c>
      <c r="D199" s="50" t="s">
        <v>2208</v>
      </c>
      <c r="E199" s="4" t="s">
        <v>26</v>
      </c>
      <c r="F199" s="4" t="s">
        <v>162</v>
      </c>
      <c r="G199" s="4" t="s">
        <v>2692</v>
      </c>
      <c r="H199" s="193">
        <v>179.12</v>
      </c>
      <c r="I199" s="181" t="s">
        <v>1520</v>
      </c>
      <c r="J199" s="221">
        <f>IF(H199&gt;0,(H199*VLOOKUP(Lookups!$K$11,Lookups!$M$10:$P$43,4,0)/VLOOKUP(I199,Lookups!$M$10:$P$43,4,0)),"")</f>
        <v>184.47981172653016</v>
      </c>
      <c r="K199" s="11"/>
      <c r="L199" s="181"/>
      <c r="M199" s="221" t="str">
        <f>IF(K199&gt;0,(K199*VLOOKUP(Lookups!$K$11,Lookups!$M$10:$P$43,4,0)/VLOOKUP(L199,Lookups!$M$10:$P$43,4,0)),"")</f>
        <v/>
      </c>
      <c r="N199" s="11"/>
      <c r="O199" s="181"/>
      <c r="P199" s="221" t="str">
        <f>IF(N199&gt;0,(N199*VLOOKUP(Lookups!$K$11,Lookups!$M$10:$P$43,4,0)/VLOOKUP(O199,Lookups!$M$10:$P$43,4,0)),"")</f>
        <v/>
      </c>
      <c r="Q199" s="173" t="s">
        <v>3242</v>
      </c>
      <c r="R199" s="181" t="s">
        <v>152</v>
      </c>
      <c r="S199" s="174" t="s">
        <v>3047</v>
      </c>
      <c r="T199" s="176" t="s">
        <v>923</v>
      </c>
      <c r="U199" s="4" t="s">
        <v>2827</v>
      </c>
    </row>
    <row r="200" spans="1:21" s="36" customFormat="1" ht="60" hidden="1" customHeight="1" outlineLevel="1" x14ac:dyDescent="0.25">
      <c r="A200" s="42" t="s">
        <v>219</v>
      </c>
      <c r="B200" s="42" t="s">
        <v>138</v>
      </c>
      <c r="C200" s="42" t="s">
        <v>3003</v>
      </c>
      <c r="D200" s="42" t="s">
        <v>362</v>
      </c>
      <c r="E200" s="13" t="s">
        <v>163</v>
      </c>
      <c r="F200" s="4" t="s">
        <v>162</v>
      </c>
      <c r="G200" s="12" t="s">
        <v>2692</v>
      </c>
      <c r="H200" s="11">
        <v>154</v>
      </c>
      <c r="I200" s="15" t="s">
        <v>258</v>
      </c>
      <c r="J200" s="17">
        <f>IF(H200&gt;0,(H200*VLOOKUP(Lookups!$K$11,Lookups!$M$10:$P$43,4,0)/VLOOKUP(I200,Lookups!$M$10:$P$43,4,0)),"")</f>
        <v>178.15987121547272</v>
      </c>
      <c r="K200" s="11"/>
      <c r="L200" s="15"/>
      <c r="M200" s="17" t="str">
        <f>IF(K200&gt;0,(K200*VLOOKUP(Lookups!$K$11,Lookups!$M$10:$P$43,4,0)/VLOOKUP(L200,Lookups!$M$10:$P$43,4,0)),"")</f>
        <v/>
      </c>
      <c r="N200" s="11"/>
      <c r="O200" s="15"/>
      <c r="P200" s="17" t="str">
        <f>IF(N200&gt;0,(N200*VLOOKUP(Lookups!$K$11,Lookups!$M$10:$P$43,4,0)/VLOOKUP(O200,Lookups!$M$10:$P$43,4,0)),"")</f>
        <v/>
      </c>
      <c r="Q200" s="173" t="s">
        <v>1963</v>
      </c>
      <c r="R200" s="15" t="s">
        <v>152</v>
      </c>
      <c r="S200" s="4" t="s">
        <v>1962</v>
      </c>
      <c r="T200" s="176"/>
      <c r="U200" s="90"/>
    </row>
    <row r="201" spans="1:21" s="54" customFormat="1" ht="60" hidden="1" customHeight="1" outlineLevel="1" x14ac:dyDescent="0.25">
      <c r="A201" s="50" t="s">
        <v>219</v>
      </c>
      <c r="B201" s="50" t="s">
        <v>138</v>
      </c>
      <c r="C201" s="50" t="s">
        <v>3004</v>
      </c>
      <c r="D201" s="50" t="s">
        <v>2110</v>
      </c>
      <c r="E201" s="90" t="s">
        <v>655</v>
      </c>
      <c r="F201" s="90" t="s">
        <v>162</v>
      </c>
      <c r="G201" s="90" t="s">
        <v>2692</v>
      </c>
      <c r="H201" s="193">
        <v>425.63</v>
      </c>
      <c r="I201" s="181" t="s">
        <v>1520</v>
      </c>
      <c r="J201" s="221">
        <f>IF(H201&gt;0,(H201*VLOOKUP(Lookups!$K$11,Lookups!$M$10:$P$43,4,0)/VLOOKUP(I201,Lookups!$M$10:$P$43,4,0)),"")</f>
        <v>438.36613591538094</v>
      </c>
      <c r="K201" s="165"/>
      <c r="L201" s="181"/>
      <c r="M201" s="221" t="str">
        <f>IF(K201&gt;0,(K201*VLOOKUP(Lookups!$K$11,Lookups!$M$10:$P$43,4,0)/VLOOKUP(L201,Lookups!$M$10:$P$43,4,0)),"")</f>
        <v/>
      </c>
      <c r="N201" s="165"/>
      <c r="O201" s="181"/>
      <c r="P201" s="221" t="str">
        <f>IF(N201&gt;0,(N201*VLOOKUP(Lookups!$K$11,Lookups!$M$10:$P$43,4,0)/VLOOKUP(O201,Lookups!$M$10:$P$43,4,0)),"")</f>
        <v/>
      </c>
      <c r="Q201" s="173" t="s">
        <v>3238</v>
      </c>
      <c r="R201" s="181" t="s">
        <v>154</v>
      </c>
      <c r="S201" s="174" t="s">
        <v>2831</v>
      </c>
      <c r="T201" s="181" t="s">
        <v>923</v>
      </c>
      <c r="U201" s="4" t="s">
        <v>2827</v>
      </c>
    </row>
    <row r="202" spans="1:21" s="36" customFormat="1" ht="60" hidden="1" customHeight="1" outlineLevel="1" x14ac:dyDescent="0.25">
      <c r="A202" s="42" t="s">
        <v>219</v>
      </c>
      <c r="B202" s="42" t="s">
        <v>138</v>
      </c>
      <c r="C202" s="42" t="s">
        <v>3005</v>
      </c>
      <c r="D202" s="42" t="s">
        <v>363</v>
      </c>
      <c r="E202" s="13" t="s">
        <v>164</v>
      </c>
      <c r="F202" s="4" t="s">
        <v>162</v>
      </c>
      <c r="G202" s="4" t="s">
        <v>667</v>
      </c>
      <c r="H202" s="11">
        <v>688</v>
      </c>
      <c r="I202" s="15" t="s">
        <v>258</v>
      </c>
      <c r="J202" s="17">
        <f>IF(H202&gt;0,(H202*VLOOKUP(Lookups!$K$11,Lookups!$M$10:$P$43,4,0)/VLOOKUP(I202,Lookups!$M$10:$P$43,4,0)),"")</f>
        <v>795.93500906652753</v>
      </c>
      <c r="K202" s="11"/>
      <c r="L202" s="15"/>
      <c r="M202" s="17" t="str">
        <f>IF(K202&gt;0,(K202*VLOOKUP(Lookups!$K$11,Lookups!$M$10:$P$43,4,0)/VLOOKUP(L202,Lookups!$M$10:$P$43,4,0)),"")</f>
        <v/>
      </c>
      <c r="N202" s="11"/>
      <c r="O202" s="15"/>
      <c r="P202" s="17" t="str">
        <f>IF(N202&gt;0,(N202*VLOOKUP(Lookups!$K$11,Lookups!$M$10:$P$43,4,0)/VLOOKUP(O202,Lookups!$M$10:$P$43,4,0)),"")</f>
        <v/>
      </c>
      <c r="Q202" s="173" t="s">
        <v>1964</v>
      </c>
      <c r="R202" s="15" t="s">
        <v>152</v>
      </c>
      <c r="S202" s="12" t="s">
        <v>1191</v>
      </c>
      <c r="T202" s="176"/>
      <c r="U202" s="90"/>
    </row>
    <row r="203" spans="1:21" s="36" customFormat="1" ht="60" hidden="1" customHeight="1" outlineLevel="1" x14ac:dyDescent="0.25">
      <c r="A203" s="42" t="s">
        <v>219</v>
      </c>
      <c r="B203" s="42" t="s">
        <v>138</v>
      </c>
      <c r="C203" s="42" t="s">
        <v>3006</v>
      </c>
      <c r="D203" s="42" t="s">
        <v>1192</v>
      </c>
      <c r="E203" s="13" t="s">
        <v>164</v>
      </c>
      <c r="F203" s="4" t="s">
        <v>162</v>
      </c>
      <c r="G203" s="12" t="s">
        <v>2692</v>
      </c>
      <c r="H203" s="11">
        <v>56</v>
      </c>
      <c r="I203" s="15" t="s">
        <v>258</v>
      </c>
      <c r="J203" s="17">
        <f>IF(H203&gt;0,(H203*VLOOKUP(Lookups!$K$11,Lookups!$M$10:$P$43,4,0)/VLOOKUP(I203,Lookups!$M$10:$P$43,4,0)),"")</f>
        <v>64.785407714717351</v>
      </c>
      <c r="K203" s="11"/>
      <c r="L203" s="15"/>
      <c r="M203" s="17" t="str">
        <f>IF(K203&gt;0,(K203*VLOOKUP(Lookups!$K$11,Lookups!$M$10:$P$43,4,0)/VLOOKUP(L203,Lookups!$M$10:$P$43,4,0)),"")</f>
        <v/>
      </c>
      <c r="N203" s="11"/>
      <c r="O203" s="15"/>
      <c r="P203" s="17" t="str">
        <f>IF(N203&gt;0,(N203*VLOOKUP(Lookups!$K$11,Lookups!$M$10:$P$43,4,0)/VLOOKUP(O203,Lookups!$M$10:$P$43,4,0)),"")</f>
        <v/>
      </c>
      <c r="Q203" s="173" t="s">
        <v>1965</v>
      </c>
      <c r="R203" s="15" t="s">
        <v>152</v>
      </c>
      <c r="S203" s="12" t="s">
        <v>1966</v>
      </c>
      <c r="T203" s="176"/>
      <c r="U203" s="90"/>
    </row>
    <row r="204" spans="1:21" s="36" customFormat="1" ht="60" hidden="1" customHeight="1" outlineLevel="1" x14ac:dyDescent="0.25">
      <c r="A204" s="42" t="s">
        <v>219</v>
      </c>
      <c r="B204" s="42" t="s">
        <v>138</v>
      </c>
      <c r="C204" s="42" t="s">
        <v>3007</v>
      </c>
      <c r="D204" s="42" t="s">
        <v>117</v>
      </c>
      <c r="E204" s="13" t="s">
        <v>164</v>
      </c>
      <c r="F204" s="4" t="s">
        <v>162</v>
      </c>
      <c r="G204" s="12" t="s">
        <v>2692</v>
      </c>
      <c r="H204" s="11">
        <v>59</v>
      </c>
      <c r="I204" s="15" t="s">
        <v>194</v>
      </c>
      <c r="J204" s="17">
        <f>IF(H204&gt;0,(H204*VLOOKUP(Lookups!$K$11,Lookups!$M$10:$P$43,4,0)/VLOOKUP(I204,Lookups!$M$10:$P$43,4,0)),"")</f>
        <v>77.69227823861462</v>
      </c>
      <c r="K204" s="11"/>
      <c r="L204" s="15"/>
      <c r="M204" s="17" t="str">
        <f>IF(K204&gt;0,(K204*VLOOKUP(Lookups!$K$11,Lookups!$M$10:$P$43,4,0)/VLOOKUP(L204,Lookups!$M$10:$P$43,4,0)),"")</f>
        <v/>
      </c>
      <c r="N204" s="11"/>
      <c r="O204" s="15"/>
      <c r="P204" s="17" t="str">
        <f>IF(N204&gt;0,(N204*VLOOKUP(Lookups!$K$11,Lookups!$M$10:$P$43,4,0)/VLOOKUP(O204,Lookups!$M$10:$P$43,4,0)),"")</f>
        <v/>
      </c>
      <c r="Q204" s="173" t="s">
        <v>1234</v>
      </c>
      <c r="R204" s="15" t="s">
        <v>149</v>
      </c>
      <c r="S204" s="4" t="s">
        <v>1261</v>
      </c>
      <c r="T204" s="176"/>
      <c r="U204" s="4"/>
    </row>
    <row r="205" spans="1:21" s="36" customFormat="1" ht="60" hidden="1" customHeight="1" outlineLevel="1" x14ac:dyDescent="0.25">
      <c r="A205" s="42" t="s">
        <v>219</v>
      </c>
      <c r="B205" s="42" t="s">
        <v>138</v>
      </c>
      <c r="C205" s="42" t="s">
        <v>3008</v>
      </c>
      <c r="D205" s="42" t="s">
        <v>453</v>
      </c>
      <c r="E205" s="12" t="s">
        <v>448</v>
      </c>
      <c r="F205" s="12" t="s">
        <v>162</v>
      </c>
      <c r="G205" s="12" t="s">
        <v>2692</v>
      </c>
      <c r="H205" s="14">
        <v>23.89</v>
      </c>
      <c r="I205" s="15" t="s">
        <v>193</v>
      </c>
      <c r="J205" s="17">
        <f>IF(H205&gt;0,(H205*VLOOKUP(Lookups!$K$11,Lookups!$M$10:$P$43,4,0)/VLOOKUP(I205,Lookups!$M$10:$P$43,4,0)),"")</f>
        <v>32.390711342150986</v>
      </c>
      <c r="K205" s="14"/>
      <c r="L205" s="15"/>
      <c r="M205" s="17" t="str">
        <f>IF(K205&gt;0,(K205*VLOOKUP(Lookups!$K$11,Lookups!$M$10:$P$43,4,0)/VLOOKUP(L205,Lookups!$M$10:$P$43,4,0)),"")</f>
        <v/>
      </c>
      <c r="N205" s="14"/>
      <c r="O205" s="15"/>
      <c r="P205" s="17" t="str">
        <f>IF(N205&gt;0,(N205*VLOOKUP(Lookups!$K$11,Lookups!$M$10:$P$43,4,0)/VLOOKUP(O205,Lookups!$M$10:$P$43,4,0)),"")</f>
        <v/>
      </c>
      <c r="Q205" s="202" t="s">
        <v>447</v>
      </c>
      <c r="R205" s="15" t="s">
        <v>149</v>
      </c>
      <c r="S205" s="12" t="s">
        <v>1262</v>
      </c>
      <c r="T205" s="176"/>
      <c r="U205" s="4"/>
    </row>
    <row r="206" spans="1:21" s="36" customFormat="1" ht="60" hidden="1" customHeight="1" outlineLevel="1" x14ac:dyDescent="0.25">
      <c r="A206" s="42" t="s">
        <v>219</v>
      </c>
      <c r="B206" s="42" t="s">
        <v>138</v>
      </c>
      <c r="C206" s="42" t="s">
        <v>3009</v>
      </c>
      <c r="D206" s="42" t="s">
        <v>454</v>
      </c>
      <c r="E206" s="12" t="s">
        <v>448</v>
      </c>
      <c r="F206" s="12" t="s">
        <v>162</v>
      </c>
      <c r="G206" s="12" t="s">
        <v>2692</v>
      </c>
      <c r="H206" s="14">
        <v>44.15</v>
      </c>
      <c r="I206" s="15" t="s">
        <v>193</v>
      </c>
      <c r="J206" s="17">
        <f>IF(H206&gt;0,(H206*VLOOKUP(Lookups!$K$11,Lookups!$M$10:$P$43,4,0)/VLOOKUP(I206,Lookups!$M$10:$P$43,4,0)),"")</f>
        <v>59.859770019086064</v>
      </c>
      <c r="K206" s="14"/>
      <c r="L206" s="15"/>
      <c r="M206" s="17" t="str">
        <f>IF(K206&gt;0,(K206*VLOOKUP(Lookups!$K$11,Lookups!$M$10:$P$43,4,0)/VLOOKUP(L206,Lookups!$M$10:$P$43,4,0)),"")</f>
        <v/>
      </c>
      <c r="N206" s="14"/>
      <c r="O206" s="15"/>
      <c r="P206" s="17" t="str">
        <f>IF(N206&gt;0,(N206*VLOOKUP(Lookups!$K$11,Lookups!$M$10:$P$43,4,0)/VLOOKUP(O206,Lookups!$M$10:$P$43,4,0)),"")</f>
        <v/>
      </c>
      <c r="Q206" s="202" t="s">
        <v>447</v>
      </c>
      <c r="R206" s="15" t="s">
        <v>149</v>
      </c>
      <c r="S206" s="12" t="s">
        <v>1263</v>
      </c>
      <c r="T206" s="176"/>
      <c r="U206" s="4"/>
    </row>
    <row r="207" spans="1:21" s="36" customFormat="1" ht="60" hidden="1" customHeight="1" outlineLevel="1" x14ac:dyDescent="0.25">
      <c r="A207" s="42" t="s">
        <v>219</v>
      </c>
      <c r="B207" s="42" t="s">
        <v>138</v>
      </c>
      <c r="C207" s="42" t="s">
        <v>3010</v>
      </c>
      <c r="D207" s="42" t="s">
        <v>449</v>
      </c>
      <c r="E207" s="12" t="s">
        <v>163</v>
      </c>
      <c r="F207" s="12" t="s">
        <v>162</v>
      </c>
      <c r="G207" s="12" t="s">
        <v>2692</v>
      </c>
      <c r="H207" s="14">
        <v>10.76</v>
      </c>
      <c r="I207" s="15" t="s">
        <v>193</v>
      </c>
      <c r="J207" s="17">
        <f>IF(H207&gt;0,(H207*VLOOKUP(Lookups!$K$11,Lookups!$M$10:$P$43,4,0)/VLOOKUP(I207,Lookups!$M$10:$P$43,4,0)),"")</f>
        <v>14.588700462182697</v>
      </c>
      <c r="K207" s="14"/>
      <c r="L207" s="15"/>
      <c r="M207" s="17" t="str">
        <f>IF(K207&gt;0,(K207*VLOOKUP(Lookups!$K$11,Lookups!$M$10:$P$43,4,0)/VLOOKUP(L207,Lookups!$M$10:$P$43,4,0)),"")</f>
        <v/>
      </c>
      <c r="N207" s="14"/>
      <c r="O207" s="15"/>
      <c r="P207" s="17" t="str">
        <f>IF(N207&gt;0,(N207*VLOOKUP(Lookups!$K$11,Lookups!$M$10:$P$43,4,0)/VLOOKUP(O207,Lookups!$M$10:$P$43,4,0)),"")</f>
        <v/>
      </c>
      <c r="Q207" s="202" t="s">
        <v>447</v>
      </c>
      <c r="R207" s="15" t="s">
        <v>149</v>
      </c>
      <c r="S207" s="12" t="s">
        <v>1264</v>
      </c>
      <c r="T207" s="176"/>
      <c r="U207" s="4"/>
    </row>
    <row r="208" spans="1:21" s="36" customFormat="1" ht="60" hidden="1" customHeight="1" outlineLevel="1" x14ac:dyDescent="0.25">
      <c r="A208" s="42" t="s">
        <v>219</v>
      </c>
      <c r="B208" s="42" t="s">
        <v>138</v>
      </c>
      <c r="C208" s="42" t="s">
        <v>3011</v>
      </c>
      <c r="D208" s="42" t="s">
        <v>450</v>
      </c>
      <c r="E208" s="12" t="s">
        <v>448</v>
      </c>
      <c r="F208" s="12" t="s">
        <v>162</v>
      </c>
      <c r="G208" s="12" t="s">
        <v>2692</v>
      </c>
      <c r="H208" s="14">
        <v>104.37</v>
      </c>
      <c r="I208" s="15" t="s">
        <v>193</v>
      </c>
      <c r="J208" s="17">
        <f>IF(H208&gt;0,(H208*VLOOKUP(Lookups!$K$11,Lookups!$M$10:$P$43,4,0)/VLOOKUP(I208,Lookups!$M$10:$P$43,4,0)),"")</f>
        <v>141.50768282881114</v>
      </c>
      <c r="K208" s="14"/>
      <c r="L208" s="15"/>
      <c r="M208" s="17" t="str">
        <f>IF(K208&gt;0,(K208*VLOOKUP(Lookups!$K$11,Lookups!$M$10:$P$43,4,0)/VLOOKUP(L208,Lookups!$M$10:$P$43,4,0)),"")</f>
        <v/>
      </c>
      <c r="N208" s="14"/>
      <c r="O208" s="15"/>
      <c r="P208" s="17" t="str">
        <f>IF(N208&gt;0,(N208*VLOOKUP(Lookups!$K$11,Lookups!$M$10:$P$43,4,0)/VLOOKUP(O208,Lookups!$M$10:$P$43,4,0)),"")</f>
        <v/>
      </c>
      <c r="Q208" s="202" t="s">
        <v>447</v>
      </c>
      <c r="R208" s="15" t="s">
        <v>149</v>
      </c>
      <c r="S208" s="12" t="s">
        <v>1301</v>
      </c>
      <c r="T208" s="176"/>
      <c r="U208" s="4"/>
    </row>
    <row r="209" spans="1:21" s="36" customFormat="1" ht="60" hidden="1" customHeight="1" outlineLevel="1" x14ac:dyDescent="0.25">
      <c r="A209" s="42" t="s">
        <v>219</v>
      </c>
      <c r="B209" s="42" t="s">
        <v>138</v>
      </c>
      <c r="C209" s="42" t="s">
        <v>3012</v>
      </c>
      <c r="D209" s="42" t="s">
        <v>451</v>
      </c>
      <c r="E209" s="12" t="s">
        <v>448</v>
      </c>
      <c r="F209" s="12" t="s">
        <v>162</v>
      </c>
      <c r="G209" s="12" t="s">
        <v>2692</v>
      </c>
      <c r="H209" s="14">
        <v>89.53</v>
      </c>
      <c r="I209" s="15" t="s">
        <v>193</v>
      </c>
      <c r="J209" s="17">
        <f>IF(H209&gt;0,(H209*VLOOKUP(Lookups!$K$11,Lookups!$M$10:$P$43,4,0)/VLOOKUP(I209,Lookups!$M$10:$P$43,4,0)),"")</f>
        <v>121.38720747018743</v>
      </c>
      <c r="K209" s="14"/>
      <c r="L209" s="15"/>
      <c r="M209" s="17" t="str">
        <f>IF(K209&gt;0,(K209*VLOOKUP(Lookups!$K$11,Lookups!$M$10:$P$43,4,0)/VLOOKUP(L209,Lookups!$M$10:$P$43,4,0)),"")</f>
        <v/>
      </c>
      <c r="N209" s="14"/>
      <c r="O209" s="15"/>
      <c r="P209" s="17" t="str">
        <f>IF(N209&gt;0,(N209*VLOOKUP(Lookups!$K$11,Lookups!$M$10:$P$43,4,0)/VLOOKUP(O209,Lookups!$M$10:$P$43,4,0)),"")</f>
        <v/>
      </c>
      <c r="Q209" s="202" t="s">
        <v>447</v>
      </c>
      <c r="R209" s="15" t="s">
        <v>149</v>
      </c>
      <c r="S209" s="12" t="s">
        <v>1265</v>
      </c>
      <c r="T209" s="176"/>
      <c r="U209" s="4"/>
    </row>
    <row r="210" spans="1:21" s="36" customFormat="1" ht="60" hidden="1" customHeight="1" outlineLevel="1" x14ac:dyDescent="0.25">
      <c r="A210" s="42" t="s">
        <v>219</v>
      </c>
      <c r="B210" s="42" t="s">
        <v>138</v>
      </c>
      <c r="C210" s="42" t="s">
        <v>3013</v>
      </c>
      <c r="D210" s="42" t="s">
        <v>452</v>
      </c>
      <c r="E210" s="12" t="s">
        <v>652</v>
      </c>
      <c r="F210" s="12" t="s">
        <v>162</v>
      </c>
      <c r="G210" s="12" t="s">
        <v>2692</v>
      </c>
      <c r="H210" s="14">
        <v>27445</v>
      </c>
      <c r="I210" s="15" t="s">
        <v>193</v>
      </c>
      <c r="J210" s="17">
        <f>IF(H210&gt;0,(H210*VLOOKUP(Lookups!$K$11,Lookups!$M$10:$P$43,4,0)/VLOOKUP(I210,Lookups!$M$10:$P$43,4,0)),"")</f>
        <v>37210.676968829379</v>
      </c>
      <c r="K210" s="14"/>
      <c r="L210" s="15"/>
      <c r="M210" s="17" t="str">
        <f>IF(K210&gt;0,(K210*VLOOKUP(Lookups!$K$11,Lookups!$M$10:$P$43,4,0)/VLOOKUP(L210,Lookups!$M$10:$P$43,4,0)),"")</f>
        <v/>
      </c>
      <c r="N210" s="14"/>
      <c r="O210" s="15"/>
      <c r="P210" s="17" t="str">
        <f>IF(N210&gt;0,(N210*VLOOKUP(Lookups!$K$11,Lookups!$M$10:$P$43,4,0)/VLOOKUP(O210,Lookups!$M$10:$P$43,4,0)),"")</f>
        <v/>
      </c>
      <c r="Q210" s="202" t="s">
        <v>447</v>
      </c>
      <c r="R210" s="15" t="s">
        <v>149</v>
      </c>
      <c r="S210" s="43" t="s">
        <v>1266</v>
      </c>
      <c r="T210" s="176"/>
      <c r="U210" s="4"/>
    </row>
    <row r="211" spans="1:21" s="53" customFormat="1" ht="60" customHeight="1" collapsed="1" x14ac:dyDescent="0.25">
      <c r="A211" s="39" t="s">
        <v>219</v>
      </c>
      <c r="B211" s="39" t="s">
        <v>2028</v>
      </c>
      <c r="C211" s="39" t="s">
        <v>764</v>
      </c>
      <c r="D211" s="39" t="s">
        <v>2029</v>
      </c>
      <c r="E211" s="4" t="s">
        <v>705</v>
      </c>
      <c r="F211" s="4" t="s">
        <v>162</v>
      </c>
      <c r="G211" s="4" t="s">
        <v>2692</v>
      </c>
      <c r="H211" s="193">
        <v>130</v>
      </c>
      <c r="I211" s="181" t="s">
        <v>1520</v>
      </c>
      <c r="J211" s="221">
        <f>IF(H211&gt;0,(H211*VLOOKUP(Lookups!$K$11,Lookups!$M$10:$P$43,4,0)/VLOOKUP(I211,Lookups!$M$10:$P$43,4,0)),"")</f>
        <v>133.88999287879031</v>
      </c>
      <c r="K211" s="11"/>
      <c r="L211" s="181"/>
      <c r="M211" s="221" t="str">
        <f>IF(K211&gt;0,(K211*VLOOKUP(Lookups!$K$11,Lookups!$M$10:$P$43,4,0)/VLOOKUP(L211,Lookups!$M$10:$P$43,4,0)),"")</f>
        <v/>
      </c>
      <c r="N211" s="11"/>
      <c r="O211" s="181"/>
      <c r="P211" s="221" t="str">
        <f>IF(N211&gt;0,(N211*VLOOKUP(Lookups!$K$11,Lookups!$M$10:$P$43,4,0)/VLOOKUP(O211,Lookups!$M$10:$P$43,4,0)),"")</f>
        <v/>
      </c>
      <c r="Q211" s="173" t="s">
        <v>2429</v>
      </c>
      <c r="R211" s="181" t="s">
        <v>154</v>
      </c>
      <c r="S211" s="174" t="s">
        <v>2785</v>
      </c>
      <c r="T211" s="176" t="s">
        <v>923</v>
      </c>
      <c r="U211" s="90" t="s">
        <v>2407</v>
      </c>
    </row>
    <row r="212" spans="1:21" s="53" customFormat="1" ht="60" hidden="1" customHeight="1" outlineLevel="1" x14ac:dyDescent="0.25">
      <c r="A212" s="50" t="s">
        <v>219</v>
      </c>
      <c r="B212" s="50" t="s">
        <v>2028</v>
      </c>
      <c r="C212" s="50" t="s">
        <v>2251</v>
      </c>
      <c r="D212" s="50" t="s">
        <v>2786</v>
      </c>
      <c r="E212" s="4" t="s">
        <v>705</v>
      </c>
      <c r="F212" s="4" t="s">
        <v>162</v>
      </c>
      <c r="G212" s="4" t="s">
        <v>2692</v>
      </c>
      <c r="H212" s="193">
        <v>124</v>
      </c>
      <c r="I212" s="181" t="s">
        <v>1520</v>
      </c>
      <c r="J212" s="221">
        <f>IF(H212&gt;0,(H212*VLOOKUP(Lookups!$K$11,Lookups!$M$10:$P$43,4,0)/VLOOKUP(I212,Lookups!$M$10:$P$43,4,0)),"")</f>
        <v>127.71045474592307</v>
      </c>
      <c r="K212" s="11"/>
      <c r="L212" s="181"/>
      <c r="M212" s="221" t="str">
        <f>IF(K212&gt;0,(K212*VLOOKUP(Lookups!$K$11,Lookups!$M$10:$P$43,4,0)/VLOOKUP(L212,Lookups!$M$10:$P$43,4,0)),"")</f>
        <v/>
      </c>
      <c r="N212" s="11"/>
      <c r="O212" s="181"/>
      <c r="P212" s="221" t="str">
        <f>IF(N212&gt;0,(N212*VLOOKUP(Lookups!$K$11,Lookups!$M$10:$P$43,4,0)/VLOOKUP(O212,Lookups!$M$10:$P$43,4,0)),"")</f>
        <v/>
      </c>
      <c r="Q212" s="173" t="s">
        <v>2430</v>
      </c>
      <c r="R212" s="181" t="s">
        <v>154</v>
      </c>
      <c r="S212" s="174" t="s">
        <v>3051</v>
      </c>
      <c r="T212" s="176" t="s">
        <v>923</v>
      </c>
      <c r="U212" s="90" t="s">
        <v>2407</v>
      </c>
    </row>
    <row r="213" spans="1:21" s="36" customFormat="1" ht="60" hidden="1" customHeight="1" outlineLevel="1" x14ac:dyDescent="0.25">
      <c r="A213" s="42" t="s">
        <v>219</v>
      </c>
      <c r="B213" s="42" t="s">
        <v>2028</v>
      </c>
      <c r="C213" s="42" t="s">
        <v>2252</v>
      </c>
      <c r="D213" s="42" t="s">
        <v>2221</v>
      </c>
      <c r="E213" s="12" t="s">
        <v>628</v>
      </c>
      <c r="F213" s="12" t="s">
        <v>162</v>
      </c>
      <c r="G213" s="12" t="s">
        <v>2692</v>
      </c>
      <c r="H213" s="198">
        <v>30.72</v>
      </c>
      <c r="I213" s="15" t="s">
        <v>1520</v>
      </c>
      <c r="J213" s="17">
        <f>IF(H213&gt;0,(H213*VLOOKUP(Lookups!$K$11,Lookups!$M$10:$P$43,4,0)/VLOOKUP(I213,Lookups!$M$10:$P$43,4,0)),"")</f>
        <v>31.639235240280293</v>
      </c>
      <c r="K213" s="14"/>
      <c r="L213" s="15"/>
      <c r="M213" s="17" t="str">
        <f>IF(K213&gt;0,(K213*VLOOKUP(Lookups!$K$11,Lookups!$M$10:$P$43,4,0)/VLOOKUP(L213,Lookups!$M$10:$P$43,4,0)),"")</f>
        <v/>
      </c>
      <c r="N213" s="14"/>
      <c r="O213" s="15"/>
      <c r="P213" s="17" t="str">
        <f>IF(N213&gt;0,(N213*VLOOKUP(Lookups!$K$11,Lookups!$M$10:$P$43,4,0)/VLOOKUP(O213,Lookups!$M$10:$P$43,4,0)),"")</f>
        <v/>
      </c>
      <c r="Q213" s="173" t="s">
        <v>2431</v>
      </c>
      <c r="R213" s="15" t="s">
        <v>152</v>
      </c>
      <c r="S213" s="194" t="s">
        <v>2432</v>
      </c>
      <c r="T213" s="176" t="s">
        <v>923</v>
      </c>
      <c r="U213" s="90" t="s">
        <v>2407</v>
      </c>
    </row>
    <row r="214" spans="1:21" s="36" customFormat="1" ht="60" customHeight="1" collapsed="1" x14ac:dyDescent="0.25">
      <c r="A214" s="38" t="s">
        <v>219</v>
      </c>
      <c r="B214" s="38" t="s">
        <v>1996</v>
      </c>
      <c r="C214" s="38" t="s">
        <v>863</v>
      </c>
      <c r="D214" s="38" t="s">
        <v>2026</v>
      </c>
      <c r="E214" s="12" t="s">
        <v>628</v>
      </c>
      <c r="F214" s="12" t="s">
        <v>162</v>
      </c>
      <c r="G214" s="12" t="s">
        <v>2692</v>
      </c>
      <c r="H214" s="14">
        <v>91.18</v>
      </c>
      <c r="I214" s="15" t="s">
        <v>258</v>
      </c>
      <c r="J214" s="17">
        <f>IF(H214&gt;0,(H214*VLOOKUP(Lookups!$K$11,Lookups!$M$10:$P$43,4,0)/VLOOKUP(I214,Lookups!$M$10:$P$43,4,0)),"")</f>
        <v>105.4845263469273</v>
      </c>
      <c r="K214" s="14"/>
      <c r="L214" s="15"/>
      <c r="M214" s="17" t="str">
        <f>IF(K214&gt;0,(K214*VLOOKUP(Lookups!$K$11,Lookups!$M$10:$P$43,4,0)/VLOOKUP(L214,Lookups!$M$10:$P$43,4,0)),"")</f>
        <v/>
      </c>
      <c r="N214" s="14"/>
      <c r="O214" s="15"/>
      <c r="P214" s="17" t="str">
        <f>IF(N214&gt;0,(N214*VLOOKUP(Lookups!$K$11,Lookups!$M$10:$P$43,4,0)/VLOOKUP(O214,Lookups!$M$10:$P$43,4,0)),"")</f>
        <v/>
      </c>
      <c r="Q214" s="143" t="s">
        <v>2049</v>
      </c>
      <c r="R214" s="15" t="s">
        <v>152</v>
      </c>
      <c r="S214" s="140" t="s">
        <v>2027</v>
      </c>
      <c r="T214" s="176"/>
      <c r="U214" s="4"/>
    </row>
    <row r="215" spans="1:21" s="36" customFormat="1" ht="60" hidden="1" customHeight="1" outlineLevel="1" x14ac:dyDescent="0.25">
      <c r="A215" s="42" t="s">
        <v>219</v>
      </c>
      <c r="B215" s="42" t="s">
        <v>1996</v>
      </c>
      <c r="C215" s="42" t="s">
        <v>2253</v>
      </c>
      <c r="D215" s="42" t="s">
        <v>2025</v>
      </c>
      <c r="E215" s="12" t="s">
        <v>654</v>
      </c>
      <c r="F215" s="12" t="s">
        <v>162</v>
      </c>
      <c r="G215" s="12" t="s">
        <v>2692</v>
      </c>
      <c r="H215" s="14">
        <v>593</v>
      </c>
      <c r="I215" s="15" t="s">
        <v>254</v>
      </c>
      <c r="J215" s="17">
        <f>IF(H215&gt;0,(H215*VLOOKUP(Lookups!$K$11,Lookups!$M$10:$P$43,4,0)/VLOOKUP(I215,Lookups!$M$10:$P$43,4,0)),"")</f>
        <v>730.20677388664785</v>
      </c>
      <c r="K215" s="14"/>
      <c r="L215" s="15"/>
      <c r="M215" s="17" t="str">
        <f>IF(K215&gt;0,(K215*VLOOKUP(Lookups!$K$11,Lookups!$M$10:$P$43,4,0)/VLOOKUP(L215,Lookups!$M$10:$P$43,4,0)),"")</f>
        <v/>
      </c>
      <c r="N215" s="14"/>
      <c r="O215" s="15"/>
      <c r="P215" s="17" t="str">
        <f>IF(N215&gt;0,(N215*VLOOKUP(Lookups!$K$11,Lookups!$M$10:$P$43,4,0)/VLOOKUP(O215,Lookups!$M$10:$P$43,4,0)),"")</f>
        <v/>
      </c>
      <c r="Q215" s="143" t="s">
        <v>1997</v>
      </c>
      <c r="R215" s="15" t="s">
        <v>149</v>
      </c>
      <c r="S215" s="140" t="s">
        <v>2242</v>
      </c>
      <c r="T215" s="176"/>
      <c r="U215" s="4"/>
    </row>
    <row r="216" spans="1:21" s="36" customFormat="1" ht="60" hidden="1" customHeight="1" outlineLevel="1" x14ac:dyDescent="0.25">
      <c r="A216" s="42" t="s">
        <v>219</v>
      </c>
      <c r="B216" s="42" t="s">
        <v>1996</v>
      </c>
      <c r="C216" s="42" t="s">
        <v>3014</v>
      </c>
      <c r="D216" s="42" t="s">
        <v>1998</v>
      </c>
      <c r="E216" s="12" t="s">
        <v>654</v>
      </c>
      <c r="F216" s="12" t="s">
        <v>162</v>
      </c>
      <c r="G216" s="12" t="s">
        <v>2692</v>
      </c>
      <c r="H216" s="14">
        <v>3928</v>
      </c>
      <c r="I216" s="15" t="s">
        <v>254</v>
      </c>
      <c r="J216" s="17">
        <f>IF(H216&gt;0,(H216*VLOOKUP(Lookups!$K$11,Lookups!$M$10:$P$43,4,0)/VLOOKUP(I216,Lookups!$M$10:$P$43,4,0)),"")</f>
        <v>4836.8502661496668</v>
      </c>
      <c r="K216" s="14"/>
      <c r="L216" s="15"/>
      <c r="M216" s="17" t="str">
        <f>IF(K216&gt;0,(K216*VLOOKUP(Lookups!$K$11,Lookups!$M$10:$P$43,4,0)/VLOOKUP(L216,Lookups!$M$10:$P$43,4,0)),"")</f>
        <v/>
      </c>
      <c r="N216" s="14"/>
      <c r="O216" s="15"/>
      <c r="P216" s="17" t="str">
        <f>IF(N216&gt;0,(N216*VLOOKUP(Lookups!$K$11,Lookups!$M$10:$P$43,4,0)/VLOOKUP(O216,Lookups!$M$10:$P$43,4,0)),"")</f>
        <v/>
      </c>
      <c r="Q216" s="143" t="s">
        <v>1999</v>
      </c>
      <c r="R216" s="15" t="s">
        <v>149</v>
      </c>
      <c r="S216" s="140" t="s">
        <v>2243</v>
      </c>
      <c r="T216" s="176"/>
      <c r="U216" s="4"/>
    </row>
    <row r="217" spans="1:21" s="36" customFormat="1" ht="60" hidden="1" customHeight="1" outlineLevel="1" x14ac:dyDescent="0.25">
      <c r="A217" s="42" t="s">
        <v>219</v>
      </c>
      <c r="B217" s="42" t="s">
        <v>1996</v>
      </c>
      <c r="C217" s="42" t="s">
        <v>3015</v>
      </c>
      <c r="D217" s="42" t="s">
        <v>1971</v>
      </c>
      <c r="E217" s="12" t="s">
        <v>654</v>
      </c>
      <c r="F217" s="12" t="s">
        <v>212</v>
      </c>
      <c r="G217" s="12" t="s">
        <v>162</v>
      </c>
      <c r="H217" s="14">
        <v>1688</v>
      </c>
      <c r="I217" s="15" t="s">
        <v>256</v>
      </c>
      <c r="J217" s="17">
        <f>IF(H217&gt;0,(H217*VLOOKUP(Lookups!$K$11,Lookups!$M$10:$P$43,4,0)/VLOOKUP(I217,Lookups!$M$10:$P$43,4,0)),"")</f>
        <v>2008.8764902406078</v>
      </c>
      <c r="K217" s="14">
        <v>20672</v>
      </c>
      <c r="L217" s="15" t="s">
        <v>256</v>
      </c>
      <c r="M217" s="17">
        <f>IF(K217&gt;0,(K217*VLOOKUP(Lookups!$K$11,Lookups!$M$10:$P$43,4,0)/VLOOKUP(L217,Lookups!$M$10:$P$43,4,0)),"")</f>
        <v>24601.596449202512</v>
      </c>
      <c r="N217" s="14"/>
      <c r="O217" s="15"/>
      <c r="P217" s="17" t="str">
        <f>IF(N217&gt;0,(N217*VLOOKUP(Lookups!$K$11,Lookups!$M$10:$P$43,4,0)/VLOOKUP(O217,Lookups!$M$10:$P$43,4,0)),"")</f>
        <v/>
      </c>
      <c r="Q217" s="143" t="s">
        <v>1972</v>
      </c>
      <c r="R217" s="15" t="s">
        <v>152</v>
      </c>
      <c r="S217" s="140" t="s">
        <v>2223</v>
      </c>
      <c r="T217" s="176"/>
      <c r="U217" s="4"/>
    </row>
    <row r="218" spans="1:21" s="36" customFormat="1" ht="60" hidden="1" customHeight="1" outlineLevel="1" x14ac:dyDescent="0.25">
      <c r="A218" s="42" t="s">
        <v>219</v>
      </c>
      <c r="B218" s="42" t="s">
        <v>1996</v>
      </c>
      <c r="C218" s="42" t="s">
        <v>3016</v>
      </c>
      <c r="D218" s="42" t="s">
        <v>1973</v>
      </c>
      <c r="E218" s="12" t="s">
        <v>654</v>
      </c>
      <c r="F218" s="12" t="s">
        <v>243</v>
      </c>
      <c r="G218" s="12"/>
      <c r="H218" s="14">
        <v>7971</v>
      </c>
      <c r="I218" s="15" t="s">
        <v>256</v>
      </c>
      <c r="J218" s="17">
        <f>IF(H218&gt;0,(H218*VLOOKUP(Lookups!$K$11,Lookups!$M$10:$P$43,4,0)/VLOOKUP(I218,Lookups!$M$10:$P$43,4,0)),"")</f>
        <v>9486.2289713909267</v>
      </c>
      <c r="K218" s="14">
        <v>43491</v>
      </c>
      <c r="L218" s="15" t="s">
        <v>256</v>
      </c>
      <c r="M218" s="17">
        <f>IF(K218&gt;0,(K218*VLOOKUP(Lookups!$K$11,Lookups!$M$10:$P$43,4,0)/VLOOKUP(L218,Lookups!$M$10:$P$43,4,0)),"")</f>
        <v>51758.321941382863</v>
      </c>
      <c r="N218" s="14"/>
      <c r="O218" s="15"/>
      <c r="P218" s="17" t="str">
        <f>IF(N218&gt;0,(N218*VLOOKUP(Lookups!$K$11,Lookups!$M$10:$P$43,4,0)/VLOOKUP(O218,Lookups!$M$10:$P$43,4,0)),"")</f>
        <v/>
      </c>
      <c r="Q218" s="143" t="s">
        <v>1974</v>
      </c>
      <c r="R218" s="15" t="s">
        <v>152</v>
      </c>
      <c r="S218" s="140" t="s">
        <v>2224</v>
      </c>
      <c r="T218" s="176"/>
      <c r="U218" s="4"/>
    </row>
    <row r="219" spans="1:21" s="36" customFormat="1" ht="60" hidden="1" customHeight="1" outlineLevel="1" x14ac:dyDescent="0.25">
      <c r="A219" s="42" t="s">
        <v>219</v>
      </c>
      <c r="B219" s="42" t="s">
        <v>1996</v>
      </c>
      <c r="C219" s="42" t="s">
        <v>3017</v>
      </c>
      <c r="D219" s="42" t="s">
        <v>1975</v>
      </c>
      <c r="E219" s="12" t="s">
        <v>654</v>
      </c>
      <c r="F219" s="12" t="s">
        <v>212</v>
      </c>
      <c r="G219" s="12" t="s">
        <v>162</v>
      </c>
      <c r="H219" s="14">
        <v>4320</v>
      </c>
      <c r="I219" s="15" t="s">
        <v>256</v>
      </c>
      <c r="J219" s="17">
        <f>IF(H219&gt;0,(H219*VLOOKUP(Lookups!$K$11,Lookups!$M$10:$P$43,4,0)/VLOOKUP(I219,Lookups!$M$10:$P$43,4,0)),"")</f>
        <v>5141.2004963503705</v>
      </c>
      <c r="K219" s="14">
        <v>16474</v>
      </c>
      <c r="L219" s="15" t="s">
        <v>256</v>
      </c>
      <c r="M219" s="17">
        <f>IF(K219&gt;0,(K219*VLOOKUP(Lookups!$K$11,Lookups!$M$10:$P$43,4,0)/VLOOKUP(L219,Lookups!$M$10:$P$43,4,0)),"")</f>
        <v>19605.58726316574</v>
      </c>
      <c r="N219" s="14"/>
      <c r="O219" s="15"/>
      <c r="P219" s="17" t="str">
        <f>IF(N219&gt;0,(N219*VLOOKUP(Lookups!$K$11,Lookups!$M$10:$P$43,4,0)/VLOOKUP(O219,Lookups!$M$10:$P$43,4,0)),"")</f>
        <v/>
      </c>
      <c r="Q219" s="143" t="s">
        <v>1976</v>
      </c>
      <c r="R219" s="15" t="s">
        <v>152</v>
      </c>
      <c r="S219" s="140" t="s">
        <v>2225</v>
      </c>
      <c r="T219" s="176"/>
      <c r="U219" s="4"/>
    </row>
    <row r="220" spans="1:21" s="36" customFormat="1" ht="60" hidden="1" customHeight="1" outlineLevel="1" x14ac:dyDescent="0.25">
      <c r="A220" s="42" t="s">
        <v>219</v>
      </c>
      <c r="B220" s="42" t="s">
        <v>1996</v>
      </c>
      <c r="C220" s="42" t="s">
        <v>3018</v>
      </c>
      <c r="D220" s="42" t="s">
        <v>1977</v>
      </c>
      <c r="E220" s="12" t="s">
        <v>654</v>
      </c>
      <c r="F220" s="12" t="s">
        <v>243</v>
      </c>
      <c r="G220" s="12"/>
      <c r="H220" s="14">
        <v>5362</v>
      </c>
      <c r="I220" s="15" t="s">
        <v>256</v>
      </c>
      <c r="J220" s="17">
        <f>IF(H220&gt;0,(H220*VLOOKUP(Lookups!$K$11,Lookups!$M$10:$P$43,4,0)/VLOOKUP(I220,Lookups!$M$10:$P$43,4,0)),"")</f>
        <v>6381.2770975533995</v>
      </c>
      <c r="K220" s="14">
        <v>8655</v>
      </c>
      <c r="L220" s="15" t="s">
        <v>256</v>
      </c>
      <c r="M220" s="17">
        <f>IF(K220&gt;0,(K220*VLOOKUP(Lookups!$K$11,Lookups!$M$10:$P$43,4,0)/VLOOKUP(L220,Lookups!$M$10:$P$43,4,0)),"")</f>
        <v>10300.252383313069</v>
      </c>
      <c r="N220" s="14"/>
      <c r="O220" s="15"/>
      <c r="P220" s="17" t="str">
        <f>IF(N220&gt;0,(N220*VLOOKUP(Lookups!$K$11,Lookups!$M$10:$P$43,4,0)/VLOOKUP(O220,Lookups!$M$10:$P$43,4,0)),"")</f>
        <v/>
      </c>
      <c r="Q220" s="143" t="s">
        <v>1978</v>
      </c>
      <c r="R220" s="15" t="s">
        <v>152</v>
      </c>
      <c r="S220" s="140" t="s">
        <v>2226</v>
      </c>
      <c r="T220" s="176"/>
      <c r="U220" s="4"/>
    </row>
    <row r="221" spans="1:21" s="36" customFormat="1" ht="60" customHeight="1" collapsed="1" x14ac:dyDescent="0.25">
      <c r="A221" s="38" t="s">
        <v>219</v>
      </c>
      <c r="B221" s="38" t="s">
        <v>861</v>
      </c>
      <c r="C221" s="38" t="s">
        <v>2033</v>
      </c>
      <c r="D221" s="38" t="s">
        <v>822</v>
      </c>
      <c r="E221" s="12" t="s">
        <v>628</v>
      </c>
      <c r="F221" s="12" t="s">
        <v>162</v>
      </c>
      <c r="G221" s="12" t="s">
        <v>2692</v>
      </c>
      <c r="H221" s="14">
        <v>1844</v>
      </c>
      <c r="I221" s="15" t="s">
        <v>195</v>
      </c>
      <c r="J221" s="17">
        <f>IF(H221&gt;0,(H221*VLOOKUP(Lookups!$K$11,Lookups!$M$10:$P$43,4,0)/VLOOKUP(I221,Lookups!$M$10:$P$43,4,0)),"")</f>
        <v>2390.6480146161657</v>
      </c>
      <c r="K221" s="14"/>
      <c r="L221" s="15"/>
      <c r="M221" s="17" t="str">
        <f>IF(K221&gt;0,(K221*VLOOKUP(Lookups!$K$11,Lookups!$M$10:$P$43,4,0)/VLOOKUP(L221,Lookups!$M$10:$P$43,4,0)),"")</f>
        <v/>
      </c>
      <c r="N221" s="14"/>
      <c r="O221" s="15"/>
      <c r="P221" s="17" t="str">
        <f>IF(N221&gt;0,(N221*VLOOKUP(Lookups!$K$11,Lookups!$M$10:$P$43,4,0)/VLOOKUP(O221,Lookups!$M$10:$P$43,4,0)),"")</f>
        <v/>
      </c>
      <c r="Q221" s="143" t="s">
        <v>457</v>
      </c>
      <c r="R221" s="15" t="s">
        <v>149</v>
      </c>
      <c r="S221" s="12" t="s">
        <v>455</v>
      </c>
      <c r="T221" s="176"/>
      <c r="U221" s="90" t="s">
        <v>2222</v>
      </c>
    </row>
    <row r="222" spans="1:21" s="36" customFormat="1" ht="60" hidden="1" customHeight="1" outlineLevel="2" x14ac:dyDescent="0.25">
      <c r="A222" s="34" t="s">
        <v>219</v>
      </c>
      <c r="B222" s="34" t="s">
        <v>861</v>
      </c>
      <c r="C222" s="34" t="s">
        <v>3019</v>
      </c>
      <c r="D222" s="41" t="s">
        <v>825</v>
      </c>
      <c r="E222" s="12" t="s">
        <v>628</v>
      </c>
      <c r="F222" s="12" t="s">
        <v>162</v>
      </c>
      <c r="G222" s="12" t="s">
        <v>2692</v>
      </c>
      <c r="H222" s="14">
        <v>682</v>
      </c>
      <c r="I222" s="15" t="s">
        <v>195</v>
      </c>
      <c r="J222" s="17">
        <f>IF(H222&gt;0,(H222*VLOOKUP(Lookups!$K$11,Lookups!$M$10:$P$43,4,0)/VLOOKUP(I222,Lookups!$M$10:$P$43,4,0)),"")</f>
        <v>884.17676028645587</v>
      </c>
      <c r="K222" s="14"/>
      <c r="L222" s="15"/>
      <c r="M222" s="17" t="str">
        <f>IF(K222&gt;0,(K222*VLOOKUP(Lookups!$K$11,Lookups!$M$10:$P$43,4,0)/VLOOKUP(L222,Lookups!$M$10:$P$43,4,0)),"")</f>
        <v/>
      </c>
      <c r="N222" s="14"/>
      <c r="O222" s="15"/>
      <c r="P222" s="17" t="str">
        <f>IF(N222&gt;0,(N222*VLOOKUP(Lookups!$K$11,Lookups!$M$10:$P$43,4,0)/VLOOKUP(O222,Lookups!$M$10:$P$43,4,0)),"")</f>
        <v/>
      </c>
      <c r="Q222" s="143" t="s">
        <v>457</v>
      </c>
      <c r="R222" s="15" t="s">
        <v>149</v>
      </c>
      <c r="S222" s="12" t="s">
        <v>828</v>
      </c>
      <c r="T222" s="176"/>
      <c r="U222" s="90" t="s">
        <v>2222</v>
      </c>
    </row>
    <row r="223" spans="1:21" s="36" customFormat="1" ht="60" hidden="1" customHeight="1" outlineLevel="2" x14ac:dyDescent="0.25">
      <c r="A223" s="34" t="s">
        <v>219</v>
      </c>
      <c r="B223" s="34" t="s">
        <v>861</v>
      </c>
      <c r="C223" s="34" t="s">
        <v>3020</v>
      </c>
      <c r="D223" s="41" t="s">
        <v>826</v>
      </c>
      <c r="E223" s="12" t="s">
        <v>628</v>
      </c>
      <c r="F223" s="12" t="s">
        <v>162</v>
      </c>
      <c r="G223" s="12" t="s">
        <v>2692</v>
      </c>
      <c r="H223" s="14">
        <v>1162</v>
      </c>
      <c r="I223" s="15" t="s">
        <v>195</v>
      </c>
      <c r="J223" s="17">
        <f>IF(H223&gt;0,(H223*VLOOKUP(Lookups!$K$11,Lookups!$M$10:$P$43,4,0)/VLOOKUP(I223,Lookups!$M$10:$P$43,4,0)),"")</f>
        <v>1506.4712543297094</v>
      </c>
      <c r="K223" s="14"/>
      <c r="L223" s="15"/>
      <c r="M223" s="17" t="str">
        <f>IF(K223&gt;0,(K223*VLOOKUP(Lookups!$K$11,Lookups!$M$10:$P$43,4,0)/VLOOKUP(L223,Lookups!$M$10:$P$43,4,0)),"")</f>
        <v/>
      </c>
      <c r="N223" s="14"/>
      <c r="O223" s="15"/>
      <c r="P223" s="17" t="str">
        <f>IF(N223&gt;0,(N223*VLOOKUP(Lookups!$K$11,Lookups!$M$10:$P$43,4,0)/VLOOKUP(O223,Lookups!$M$10:$P$43,4,0)),"")</f>
        <v/>
      </c>
      <c r="Q223" s="143" t="s">
        <v>457</v>
      </c>
      <c r="R223" s="15" t="s">
        <v>149</v>
      </c>
      <c r="S223" s="12" t="s">
        <v>827</v>
      </c>
      <c r="T223" s="176"/>
      <c r="U223" s="90" t="s">
        <v>2222</v>
      </c>
    </row>
    <row r="224" spans="1:21" s="36" customFormat="1" ht="60" customHeight="1" collapsed="1" x14ac:dyDescent="0.25">
      <c r="A224" s="38" t="s">
        <v>219</v>
      </c>
      <c r="B224" s="38" t="s">
        <v>862</v>
      </c>
      <c r="C224" s="38" t="s">
        <v>2034</v>
      </c>
      <c r="D224" s="38" t="s">
        <v>456</v>
      </c>
      <c r="E224" s="12" t="s">
        <v>628</v>
      </c>
      <c r="F224" s="12" t="s">
        <v>210</v>
      </c>
      <c r="G224" s="12" t="s">
        <v>631</v>
      </c>
      <c r="H224" s="14">
        <v>792</v>
      </c>
      <c r="I224" s="15" t="s">
        <v>195</v>
      </c>
      <c r="J224" s="17">
        <f>IF(H224&gt;0,(H224*VLOOKUP(Lookups!$K$11,Lookups!$M$10:$P$43,4,0)/VLOOKUP(I224,Lookups!$M$10:$P$43,4,0)),"")</f>
        <v>1026.7859151713683</v>
      </c>
      <c r="K224" s="14"/>
      <c r="L224" s="15"/>
      <c r="M224" s="17" t="str">
        <f>IF(K224&gt;0,(K224*VLOOKUP(Lookups!$K$11,Lookups!$M$10:$P$43,4,0)/VLOOKUP(L224,Lookups!$M$10:$P$43,4,0)),"")</f>
        <v/>
      </c>
      <c r="N224" s="14"/>
      <c r="O224" s="15"/>
      <c r="P224" s="17" t="str">
        <f>IF(N224&gt;0,(N224*VLOOKUP(Lookups!$K$11,Lookups!$M$10:$P$43,4,0)/VLOOKUP(O224,Lookups!$M$10:$P$43,4,0)),"")</f>
        <v/>
      </c>
      <c r="Q224" s="143" t="s">
        <v>457</v>
      </c>
      <c r="R224" s="15" t="s">
        <v>149</v>
      </c>
      <c r="S224" s="12" t="s">
        <v>458</v>
      </c>
      <c r="T224" s="176"/>
      <c r="U224" s="90" t="s">
        <v>2222</v>
      </c>
    </row>
    <row r="225" spans="1:21" s="36" customFormat="1" ht="60" hidden="1" customHeight="1" outlineLevel="2" x14ac:dyDescent="0.25">
      <c r="A225" s="34" t="s">
        <v>219</v>
      </c>
      <c r="B225" s="34" t="s">
        <v>862</v>
      </c>
      <c r="C225" s="34" t="s">
        <v>3021</v>
      </c>
      <c r="D225" s="41" t="s">
        <v>829</v>
      </c>
      <c r="E225" s="12" t="s">
        <v>628</v>
      </c>
      <c r="F225" s="12" t="s">
        <v>210</v>
      </c>
      <c r="G225" s="12" t="s">
        <v>631</v>
      </c>
      <c r="H225" s="14">
        <v>81</v>
      </c>
      <c r="I225" s="15" t="s">
        <v>195</v>
      </c>
      <c r="J225" s="17">
        <f>IF(H225&gt;0,(H225*VLOOKUP(Lookups!$K$11,Lookups!$M$10:$P$43,4,0)/VLOOKUP(I225,Lookups!$M$10:$P$43,4,0)),"")</f>
        <v>105.01219586979902</v>
      </c>
      <c r="K225" s="14"/>
      <c r="L225" s="15"/>
      <c r="M225" s="17" t="str">
        <f>IF(K225&gt;0,(K225*VLOOKUP(Lookups!$K$11,Lookups!$M$10:$P$43,4,0)/VLOOKUP(L225,Lookups!$M$10:$P$43,4,0)),"")</f>
        <v/>
      </c>
      <c r="N225" s="14"/>
      <c r="O225" s="15"/>
      <c r="P225" s="17" t="str">
        <f>IF(N225&gt;0,(N225*VLOOKUP(Lookups!$K$11,Lookups!$M$10:$P$43,4,0)/VLOOKUP(O225,Lookups!$M$10:$P$43,4,0)),"")</f>
        <v/>
      </c>
      <c r="Q225" s="143" t="s">
        <v>457</v>
      </c>
      <c r="R225" s="15" t="s">
        <v>149</v>
      </c>
      <c r="S225" s="12" t="s">
        <v>830</v>
      </c>
      <c r="T225" s="176"/>
      <c r="U225" s="90" t="s">
        <v>2222</v>
      </c>
    </row>
    <row r="226" spans="1:21" s="54" customFormat="1" ht="60" hidden="1" customHeight="1" outlineLevel="2" x14ac:dyDescent="0.25">
      <c r="A226" s="34" t="s">
        <v>219</v>
      </c>
      <c r="B226" s="34" t="s">
        <v>862</v>
      </c>
      <c r="C226" s="34" t="s">
        <v>3022</v>
      </c>
      <c r="D226" s="41" t="s">
        <v>831</v>
      </c>
      <c r="E226" s="12" t="s">
        <v>628</v>
      </c>
      <c r="F226" s="12" t="s">
        <v>210</v>
      </c>
      <c r="G226" s="12" t="s">
        <v>631</v>
      </c>
      <c r="H226" s="14">
        <v>711</v>
      </c>
      <c r="I226" s="15" t="s">
        <v>195</v>
      </c>
      <c r="J226" s="17">
        <f>IF(H226&gt;0,(H226*VLOOKUP(Lookups!$K$11,Lookups!$M$10:$P$43,4,0)/VLOOKUP(I226,Lookups!$M$10:$P$43,4,0)),"")</f>
        <v>921.77371930156914</v>
      </c>
      <c r="K226" s="14"/>
      <c r="L226" s="15"/>
      <c r="M226" s="17" t="str">
        <f>IF(K226&gt;0,(K226*VLOOKUP(Lookups!$K$11,Lookups!$M$10:$P$43,4,0)/VLOOKUP(L226,Lookups!$M$10:$P$43,4,0)),"")</f>
        <v/>
      </c>
      <c r="N226" s="14"/>
      <c r="O226" s="15"/>
      <c r="P226" s="17" t="str">
        <f>IF(N226&gt;0,(N226*VLOOKUP(Lookups!$K$11,Lookups!$M$10:$P$43,4,0)/VLOOKUP(O226,Lookups!$M$10:$P$43,4,0)),"")</f>
        <v/>
      </c>
      <c r="Q226" s="143" t="s">
        <v>457</v>
      </c>
      <c r="R226" s="15" t="s">
        <v>149</v>
      </c>
      <c r="S226" s="12" t="s">
        <v>832</v>
      </c>
      <c r="T226" s="176"/>
      <c r="U226" s="90" t="s">
        <v>2222</v>
      </c>
    </row>
    <row r="227" spans="1:21" s="36" customFormat="1" ht="60" customHeight="1" collapsed="1" x14ac:dyDescent="0.25">
      <c r="A227" s="38" t="s">
        <v>219</v>
      </c>
      <c r="B227" s="38" t="s">
        <v>1988</v>
      </c>
      <c r="C227" s="38" t="s">
        <v>2035</v>
      </c>
      <c r="D227" s="38" t="s">
        <v>3032</v>
      </c>
      <c r="E227" s="12" t="s">
        <v>170</v>
      </c>
      <c r="F227" s="12" t="s">
        <v>243</v>
      </c>
      <c r="G227" s="12" t="s">
        <v>162</v>
      </c>
      <c r="H227" s="14">
        <v>1700</v>
      </c>
      <c r="I227" s="15" t="s">
        <v>260</v>
      </c>
      <c r="J227" s="17">
        <f>IF(H227&gt;0,(H227*VLOOKUP(Lookups!$K$11,Lookups!$M$10:$P$43,4,0)/VLOOKUP(I227,Lookups!$M$10:$P$43,4,0)),"")</f>
        <v>1896.3913569078475</v>
      </c>
      <c r="K227" s="14">
        <v>1300</v>
      </c>
      <c r="L227" s="15" t="s">
        <v>260</v>
      </c>
      <c r="M227" s="17">
        <f>IF(K227&gt;0,(K227*VLOOKUP(Lookups!$K$11,Lookups!$M$10:$P$43,4,0)/VLOOKUP(L227,Lookups!$M$10:$P$43,4,0)),"")</f>
        <v>1450.1816258707067</v>
      </c>
      <c r="N227" s="14">
        <v>5800</v>
      </c>
      <c r="O227" s="15" t="s">
        <v>260</v>
      </c>
      <c r="P227" s="17">
        <f>IF(N227&gt;0,(N227*VLOOKUP(Lookups!$K$11,Lookups!$M$10:$P$43,4,0)/VLOOKUP(O227,Lookups!$M$10:$P$43,4,0)),"")</f>
        <v>6470.0411000385375</v>
      </c>
      <c r="Q227" s="143" t="s">
        <v>3062</v>
      </c>
      <c r="R227" s="15" t="s">
        <v>154</v>
      </c>
      <c r="S227" s="140" t="s">
        <v>3052</v>
      </c>
      <c r="T227" s="176" t="s">
        <v>923</v>
      </c>
      <c r="U227" s="90" t="s">
        <v>3023</v>
      </c>
    </row>
    <row r="228" spans="1:21" s="36" customFormat="1" ht="60" hidden="1" customHeight="1" outlineLevel="2" x14ac:dyDescent="0.25">
      <c r="A228" s="34" t="s">
        <v>219</v>
      </c>
      <c r="B228" s="34" t="s">
        <v>1988</v>
      </c>
      <c r="C228" s="34" t="s">
        <v>3024</v>
      </c>
      <c r="D228" s="41" t="s">
        <v>3026</v>
      </c>
      <c r="E228" s="12" t="s">
        <v>170</v>
      </c>
      <c r="F228" s="12" t="s">
        <v>243</v>
      </c>
      <c r="G228" s="12" t="s">
        <v>162</v>
      </c>
      <c r="H228" s="14">
        <v>5800</v>
      </c>
      <c r="I228" s="15" t="s">
        <v>260</v>
      </c>
      <c r="J228" s="17">
        <f>IF(H228&gt;0,(H228*VLOOKUP(Lookups!$K$11,Lookups!$M$10:$P$43,4,0)/VLOOKUP(I228,Lookups!$M$10:$P$43,4,0)),"")</f>
        <v>6470.0411000385375</v>
      </c>
      <c r="K228" s="14">
        <v>5200</v>
      </c>
      <c r="L228" s="15" t="s">
        <v>260</v>
      </c>
      <c r="M228" s="17">
        <f>IF(K228&gt;0,(K228*VLOOKUP(Lookups!$K$11,Lookups!$M$10:$P$43,4,0)/VLOOKUP(L228,Lookups!$M$10:$P$43,4,0)),"")</f>
        <v>5800.726503482827</v>
      </c>
      <c r="N228" s="14">
        <v>23400</v>
      </c>
      <c r="O228" s="15" t="s">
        <v>260</v>
      </c>
      <c r="P228" s="17">
        <f>IF(N228&gt;0,(N228*VLOOKUP(Lookups!$K$11,Lookups!$M$10:$P$43,4,0)/VLOOKUP(O228,Lookups!$M$10:$P$43,4,0)),"")</f>
        <v>26103.269265672727</v>
      </c>
      <c r="Q228" s="143" t="s">
        <v>3062</v>
      </c>
      <c r="R228" s="15" t="s">
        <v>154</v>
      </c>
      <c r="S228" s="140" t="s">
        <v>3053</v>
      </c>
      <c r="T228" s="176" t="s">
        <v>922</v>
      </c>
      <c r="U228" s="90" t="s">
        <v>3033</v>
      </c>
    </row>
    <row r="229" spans="1:21" s="36" customFormat="1" ht="60" hidden="1" customHeight="1" outlineLevel="2" x14ac:dyDescent="0.25">
      <c r="A229" s="34" t="s">
        <v>219</v>
      </c>
      <c r="B229" s="34" t="s">
        <v>1988</v>
      </c>
      <c r="C229" s="34" t="s">
        <v>3025</v>
      </c>
      <c r="D229" s="41" t="s">
        <v>3027</v>
      </c>
      <c r="E229" s="12" t="s">
        <v>170</v>
      </c>
      <c r="F229" s="12" t="s">
        <v>243</v>
      </c>
      <c r="G229" s="12" t="s">
        <v>162</v>
      </c>
      <c r="H229" s="14">
        <v>390</v>
      </c>
      <c r="I229" s="15" t="s">
        <v>260</v>
      </c>
      <c r="J229" s="17">
        <f>IF(H229&gt;0,(H229*VLOOKUP(Lookups!$K$11,Lookups!$M$10:$P$43,4,0)/VLOOKUP(I229,Lookups!$M$10:$P$43,4,0)),"")</f>
        <v>435.05448776121199</v>
      </c>
      <c r="K229" s="14">
        <v>180</v>
      </c>
      <c r="L229" s="15" t="s">
        <v>260</v>
      </c>
      <c r="M229" s="17">
        <f>IF(K229&gt;0,(K229*VLOOKUP(Lookups!$K$11,Lookups!$M$10:$P$43,4,0)/VLOOKUP(L229,Lookups!$M$10:$P$43,4,0)),"")</f>
        <v>200.79437896671325</v>
      </c>
      <c r="N229" s="14">
        <v>330</v>
      </c>
      <c r="O229" s="15" t="s">
        <v>260</v>
      </c>
      <c r="P229" s="17">
        <f>IF(N229&gt;0,(N229*VLOOKUP(Lookups!$K$11,Lookups!$M$10:$P$43,4,0)/VLOOKUP(O229,Lookups!$M$10:$P$43,4,0)),"")</f>
        <v>368.12302810564097</v>
      </c>
      <c r="Q229" s="143" t="s">
        <v>3062</v>
      </c>
      <c r="R229" s="15" t="s">
        <v>154</v>
      </c>
      <c r="S229" s="140" t="s">
        <v>3054</v>
      </c>
      <c r="T229" s="176" t="s">
        <v>922</v>
      </c>
      <c r="U229" s="90" t="s">
        <v>3033</v>
      </c>
    </row>
    <row r="230" spans="1:21" s="36" customFormat="1" ht="60" hidden="1" customHeight="1" outlineLevel="1" x14ac:dyDescent="0.25">
      <c r="A230" s="42" t="s">
        <v>219</v>
      </c>
      <c r="B230" s="42" t="s">
        <v>1988</v>
      </c>
      <c r="C230" s="42" t="s">
        <v>2036</v>
      </c>
      <c r="D230" s="42" t="s">
        <v>3028</v>
      </c>
      <c r="E230" s="12" t="s">
        <v>170</v>
      </c>
      <c r="F230" s="12" t="s">
        <v>243</v>
      </c>
      <c r="G230" s="12" t="s">
        <v>162</v>
      </c>
      <c r="H230" s="14">
        <v>114250</v>
      </c>
      <c r="I230" s="15" t="s">
        <v>260</v>
      </c>
      <c r="J230" s="17">
        <f>IF(H230&gt;0,(H230*VLOOKUP(Lookups!$K$11,Lookups!$M$10:$P$43,4,0)/VLOOKUP(I230,Lookups!$M$10:$P$43,4,0)),"")</f>
        <v>127448.65442748327</v>
      </c>
      <c r="K230" s="14">
        <v>334850</v>
      </c>
      <c r="L230" s="15" t="s">
        <v>260</v>
      </c>
      <c r="M230" s="17">
        <f>IF(K230&gt;0,(K230*VLOOKUP(Lookups!$K$11,Lookups!$M$10:$P$43,4,0)/VLOOKUP(L230,Lookups!$M$10:$P$43,4,0)),"")</f>
        <v>373533.32109446626</v>
      </c>
      <c r="N230" s="14">
        <v>1296000</v>
      </c>
      <c r="O230" s="15" t="s">
        <v>260</v>
      </c>
      <c r="P230" s="17">
        <f>IF(N230&gt;0,(N230*VLOOKUP(Lookups!$K$11,Lookups!$M$10:$P$43,4,0)/VLOOKUP(O230,Lookups!$M$10:$P$43,4,0)),"")</f>
        <v>1445719.5285603355</v>
      </c>
      <c r="Q230" s="143" t="s">
        <v>3062</v>
      </c>
      <c r="R230" s="15" t="s">
        <v>154</v>
      </c>
      <c r="S230" s="140" t="s">
        <v>3055</v>
      </c>
      <c r="T230" s="176" t="s">
        <v>923</v>
      </c>
      <c r="U230" s="90" t="s">
        <v>3023</v>
      </c>
    </row>
    <row r="231" spans="1:21" s="36" customFormat="1" ht="60" hidden="1" customHeight="1" outlineLevel="1" collapsed="1" x14ac:dyDescent="0.25">
      <c r="A231" s="42" t="s">
        <v>219</v>
      </c>
      <c r="B231" s="42" t="s">
        <v>1988</v>
      </c>
      <c r="C231" s="42" t="s">
        <v>2037</v>
      </c>
      <c r="D231" s="42" t="s">
        <v>3031</v>
      </c>
      <c r="E231" s="12" t="s">
        <v>170</v>
      </c>
      <c r="F231" s="12" t="s">
        <v>243</v>
      </c>
      <c r="G231" s="12" t="s">
        <v>162</v>
      </c>
      <c r="H231" s="14">
        <v>4400</v>
      </c>
      <c r="I231" s="15" t="s">
        <v>260</v>
      </c>
      <c r="J231" s="17">
        <f>IF(H231&gt;0,(H231*VLOOKUP(Lookups!$K$11,Lookups!$M$10:$P$43,4,0)/VLOOKUP(I231,Lookups!$M$10:$P$43,4,0)),"")</f>
        <v>4908.307041408546</v>
      </c>
      <c r="K231" s="14">
        <v>4600</v>
      </c>
      <c r="L231" s="15" t="s">
        <v>260</v>
      </c>
      <c r="M231" s="17">
        <f>IF(K231&gt;0,(K231*VLOOKUP(Lookups!$K$11,Lookups!$M$10:$P$43,4,0)/VLOOKUP(L231,Lookups!$M$10:$P$43,4,0)),"")</f>
        <v>5131.4119069271164</v>
      </c>
      <c r="N231" s="14">
        <v>10100</v>
      </c>
      <c r="O231" s="15" t="s">
        <v>260</v>
      </c>
      <c r="P231" s="17">
        <f>IF(N231&gt;0,(N231*VLOOKUP(Lookups!$K$11,Lookups!$M$10:$P$43,4,0)/VLOOKUP(O231,Lookups!$M$10:$P$43,4,0)),"")</f>
        <v>11266.7957086878</v>
      </c>
      <c r="Q231" s="143" t="s">
        <v>3062</v>
      </c>
      <c r="R231" s="15" t="s">
        <v>154</v>
      </c>
      <c r="S231" s="140" t="s">
        <v>3056</v>
      </c>
      <c r="T231" s="176" t="s">
        <v>923</v>
      </c>
      <c r="U231" s="90" t="s">
        <v>3023</v>
      </c>
    </row>
    <row r="232" spans="1:21" s="36" customFormat="1" ht="60" hidden="1" customHeight="1" outlineLevel="2" x14ac:dyDescent="0.25">
      <c r="A232" s="34" t="s">
        <v>219</v>
      </c>
      <c r="B232" s="34" t="s">
        <v>1988</v>
      </c>
      <c r="C232" s="34" t="s">
        <v>3034</v>
      </c>
      <c r="D232" s="41" t="s">
        <v>3030</v>
      </c>
      <c r="E232" s="12" t="s">
        <v>170</v>
      </c>
      <c r="F232" s="12" t="s">
        <v>243</v>
      </c>
      <c r="G232" s="12" t="s">
        <v>162</v>
      </c>
      <c r="H232" s="14">
        <v>8770</v>
      </c>
      <c r="I232" s="15" t="s">
        <v>260</v>
      </c>
      <c r="J232" s="17">
        <f>IF(H232&gt;0,(H232*VLOOKUP(Lookups!$K$11,Lookups!$M$10:$P$43,4,0)/VLOOKUP(I232,Lookups!$M$10:$P$43,4,0)),"")</f>
        <v>9783.1483529893067</v>
      </c>
      <c r="K232" s="14">
        <v>9730</v>
      </c>
      <c r="L232" s="15" t="s">
        <v>260</v>
      </c>
      <c r="M232" s="17">
        <f>IF(K232&gt;0,(K232*VLOOKUP(Lookups!$K$11,Lookups!$M$10:$P$43,4,0)/VLOOKUP(L232,Lookups!$M$10:$P$43,4,0)),"")</f>
        <v>10854.051707478444</v>
      </c>
      <c r="N232" s="14">
        <v>21200</v>
      </c>
      <c r="O232" s="15" t="s">
        <v>260</v>
      </c>
      <c r="P232" s="17">
        <f>IF(N232&gt;0,(N232*VLOOKUP(Lookups!$K$11,Lookups!$M$10:$P$43,4,0)/VLOOKUP(O232,Lookups!$M$10:$P$43,4,0)),"")</f>
        <v>23649.115744968451</v>
      </c>
      <c r="Q232" s="143" t="s">
        <v>3062</v>
      </c>
      <c r="R232" s="15" t="s">
        <v>154</v>
      </c>
      <c r="S232" s="140" t="s">
        <v>3057</v>
      </c>
      <c r="T232" s="176" t="s">
        <v>922</v>
      </c>
      <c r="U232" s="90" t="s">
        <v>3033</v>
      </c>
    </row>
    <row r="233" spans="1:21" s="36" customFormat="1" ht="60" hidden="1" customHeight="1" outlineLevel="2" x14ac:dyDescent="0.25">
      <c r="A233" s="34" t="s">
        <v>219</v>
      </c>
      <c r="B233" s="34" t="s">
        <v>1988</v>
      </c>
      <c r="C233" s="34" t="s">
        <v>3035</v>
      </c>
      <c r="D233" s="41" t="s">
        <v>3029</v>
      </c>
      <c r="E233" s="12" t="s">
        <v>170</v>
      </c>
      <c r="F233" s="12" t="s">
        <v>243</v>
      </c>
      <c r="G233" s="12" t="s">
        <v>162</v>
      </c>
      <c r="H233" s="14">
        <v>395</v>
      </c>
      <c r="I233" s="15" t="s">
        <v>260</v>
      </c>
      <c r="J233" s="17">
        <f>IF(H233&gt;0,(H233*VLOOKUP(Lookups!$K$11,Lookups!$M$10:$P$43,4,0)/VLOOKUP(I233,Lookups!$M$10:$P$43,4,0)),"")</f>
        <v>440.63210939917633</v>
      </c>
      <c r="K233" s="14">
        <v>225</v>
      </c>
      <c r="L233" s="15" t="s">
        <v>260</v>
      </c>
      <c r="M233" s="17">
        <f>IF(K233&gt;0,(K233*VLOOKUP(Lookups!$K$11,Lookups!$M$10:$P$43,4,0)/VLOOKUP(L233,Lookups!$M$10:$P$43,4,0)),"")</f>
        <v>250.99297370839156</v>
      </c>
      <c r="N233" s="14">
        <v>320</v>
      </c>
      <c r="O233" s="15" t="s">
        <v>260</v>
      </c>
      <c r="P233" s="17">
        <f>IF(N233&gt;0,(N233*VLOOKUP(Lookups!$K$11,Lookups!$M$10:$P$43,4,0)/VLOOKUP(O233,Lookups!$M$10:$P$43,4,0)),"")</f>
        <v>356.96778482971246</v>
      </c>
      <c r="Q233" s="143" t="s">
        <v>3062</v>
      </c>
      <c r="R233" s="15" t="s">
        <v>154</v>
      </c>
      <c r="S233" s="140" t="s">
        <v>3058</v>
      </c>
      <c r="T233" s="176" t="s">
        <v>922</v>
      </c>
      <c r="U233" s="90" t="s">
        <v>3033</v>
      </c>
    </row>
    <row r="234" spans="1:21" ht="60" customHeight="1" x14ac:dyDescent="0.25">
      <c r="D234" s="69"/>
    </row>
    <row r="235" spans="1:21" ht="60" customHeight="1" x14ac:dyDescent="0.25">
      <c r="D235" s="69"/>
    </row>
    <row r="236" spans="1:21" ht="60" customHeight="1" x14ac:dyDescent="0.25">
      <c r="D236" s="69"/>
    </row>
    <row r="237" spans="1:21" ht="60" customHeight="1" x14ac:dyDescent="0.25">
      <c r="D237" s="69"/>
    </row>
    <row r="238" spans="1:21" ht="60" customHeight="1" x14ac:dyDescent="0.25">
      <c r="D238" s="69"/>
    </row>
    <row r="239" spans="1:21" ht="60" customHeight="1" x14ac:dyDescent="0.25">
      <c r="D239" s="69"/>
    </row>
    <row r="240" spans="1:21" ht="60" customHeight="1" x14ac:dyDescent="0.25">
      <c r="D240" s="69"/>
    </row>
    <row r="241" spans="4:20" ht="60" customHeight="1" x14ac:dyDescent="0.25">
      <c r="D241" s="69"/>
    </row>
    <row r="242" spans="4:20" ht="60" customHeight="1" x14ac:dyDescent="0.25">
      <c r="D242" s="69"/>
    </row>
    <row r="243" spans="4:20" ht="60" customHeight="1" x14ac:dyDescent="0.25">
      <c r="D243" s="69"/>
    </row>
    <row r="244" spans="4:20" ht="60" customHeight="1" x14ac:dyDescent="0.25">
      <c r="D244" s="69"/>
    </row>
    <row r="245" spans="4:20" ht="60" customHeight="1" x14ac:dyDescent="0.25">
      <c r="D245" s="69"/>
      <c r="T245" s="68"/>
    </row>
    <row r="246" spans="4:20" ht="60" customHeight="1" x14ac:dyDescent="0.25">
      <c r="D246" s="69"/>
      <c r="T246" s="68"/>
    </row>
    <row r="247" spans="4:20" ht="60" customHeight="1" x14ac:dyDescent="0.25">
      <c r="D247" s="69"/>
      <c r="T247" s="68"/>
    </row>
    <row r="248" spans="4:20" ht="60" customHeight="1" x14ac:dyDescent="0.25">
      <c r="D248" s="69"/>
      <c r="T248" s="68"/>
    </row>
    <row r="249" spans="4:20" ht="60" customHeight="1" x14ac:dyDescent="0.25">
      <c r="D249" s="69"/>
      <c r="T249" s="68"/>
    </row>
    <row r="250" spans="4:20" ht="60" customHeight="1" x14ac:dyDescent="0.25">
      <c r="D250" s="69"/>
      <c r="T250" s="68"/>
    </row>
    <row r="251" spans="4:20" ht="60" customHeight="1" x14ac:dyDescent="0.25">
      <c r="D251" s="69"/>
      <c r="T251" s="68"/>
    </row>
    <row r="252" spans="4:20" ht="60" customHeight="1" x14ac:dyDescent="0.25">
      <c r="D252" s="69"/>
      <c r="T252" s="68"/>
    </row>
    <row r="253" spans="4:20" ht="60" customHeight="1" x14ac:dyDescent="0.25">
      <c r="D253" s="69"/>
      <c r="T253" s="68"/>
    </row>
    <row r="254" spans="4:20" ht="60" customHeight="1" x14ac:dyDescent="0.25">
      <c r="D254" s="69"/>
      <c r="T254" s="68"/>
    </row>
    <row r="255" spans="4:20" ht="60" customHeight="1" x14ac:dyDescent="0.25">
      <c r="D255" s="69"/>
      <c r="T255" s="68"/>
    </row>
    <row r="256" spans="4:20" ht="60" customHeight="1" x14ac:dyDescent="0.25">
      <c r="D256" s="69"/>
      <c r="T256" s="68"/>
    </row>
    <row r="257" spans="4:20" ht="60" customHeight="1" x14ac:dyDescent="0.25">
      <c r="D257" s="69"/>
      <c r="T257" s="68"/>
    </row>
    <row r="258" spans="4:20" ht="60" customHeight="1" x14ac:dyDescent="0.25">
      <c r="D258" s="69"/>
      <c r="T258" s="68"/>
    </row>
    <row r="259" spans="4:20" ht="60" customHeight="1" x14ac:dyDescent="0.25">
      <c r="D259" s="69"/>
      <c r="T259" s="68"/>
    </row>
    <row r="260" spans="4:20" ht="60" customHeight="1" x14ac:dyDescent="0.25">
      <c r="D260" s="69"/>
      <c r="T260" s="68"/>
    </row>
    <row r="261" spans="4:20" ht="60" customHeight="1" x14ac:dyDescent="0.25">
      <c r="D261" s="69"/>
      <c r="T261" s="68"/>
    </row>
    <row r="262" spans="4:20" ht="60" customHeight="1" x14ac:dyDescent="0.25">
      <c r="D262" s="69"/>
      <c r="T262" s="68"/>
    </row>
    <row r="263" spans="4:20" ht="60" customHeight="1" x14ac:dyDescent="0.25">
      <c r="D263" s="69"/>
      <c r="T263" s="68"/>
    </row>
    <row r="264" spans="4:20" ht="60" customHeight="1" x14ac:dyDescent="0.25">
      <c r="D264" s="69"/>
      <c r="T264" s="68"/>
    </row>
    <row r="265" spans="4:20" ht="60" customHeight="1" x14ac:dyDescent="0.25">
      <c r="D265" s="69"/>
      <c r="T265" s="68"/>
    </row>
    <row r="266" spans="4:20" ht="60" customHeight="1" x14ac:dyDescent="0.25">
      <c r="D266" s="69"/>
      <c r="T266" s="68"/>
    </row>
    <row r="267" spans="4:20" ht="60" customHeight="1" x14ac:dyDescent="0.25">
      <c r="D267" s="69"/>
      <c r="T267" s="68"/>
    </row>
    <row r="268" spans="4:20" ht="60" customHeight="1" x14ac:dyDescent="0.25">
      <c r="D268" s="69"/>
      <c r="T268" s="68"/>
    </row>
    <row r="269" spans="4:20" ht="60" customHeight="1" x14ac:dyDescent="0.25">
      <c r="D269" s="69"/>
      <c r="T269" s="68"/>
    </row>
    <row r="270" spans="4:20" ht="60" customHeight="1" x14ac:dyDescent="0.25">
      <c r="D270" s="69"/>
      <c r="T270" s="68"/>
    </row>
    <row r="271" spans="4:20" ht="60" customHeight="1" x14ac:dyDescent="0.25">
      <c r="D271" s="69"/>
      <c r="T271" s="68"/>
    </row>
    <row r="272" spans="4:20" ht="60" customHeight="1" x14ac:dyDescent="0.25">
      <c r="D272" s="69"/>
      <c r="T272" s="68"/>
    </row>
    <row r="273" spans="4:20" ht="60" customHeight="1" x14ac:dyDescent="0.25">
      <c r="D273" s="69"/>
      <c r="T273" s="68"/>
    </row>
    <row r="274" spans="4:20" ht="60" customHeight="1" x14ac:dyDescent="0.25">
      <c r="D274" s="69"/>
      <c r="T274" s="68"/>
    </row>
    <row r="275" spans="4:20" ht="60" customHeight="1" x14ac:dyDescent="0.25">
      <c r="D275" s="69"/>
      <c r="T275" s="68"/>
    </row>
    <row r="276" spans="4:20" ht="60" customHeight="1" x14ac:dyDescent="0.25">
      <c r="D276" s="69"/>
      <c r="T276" s="68"/>
    </row>
    <row r="277" spans="4:20" ht="60" customHeight="1" x14ac:dyDescent="0.25">
      <c r="D277" s="69"/>
      <c r="T277" s="68"/>
    </row>
    <row r="278" spans="4:20" ht="60" customHeight="1" x14ac:dyDescent="0.25">
      <c r="D278" s="69"/>
      <c r="T278" s="68"/>
    </row>
    <row r="279" spans="4:20" ht="60" customHeight="1" x14ac:dyDescent="0.25">
      <c r="D279" s="69"/>
      <c r="T279" s="68"/>
    </row>
    <row r="280" spans="4:20" ht="60" customHeight="1" x14ac:dyDescent="0.25">
      <c r="D280" s="69"/>
      <c r="T280" s="68"/>
    </row>
    <row r="281" spans="4:20" ht="60" customHeight="1" x14ac:dyDescent="0.25">
      <c r="D281" s="69"/>
      <c r="T281" s="68"/>
    </row>
    <row r="282" spans="4:20" ht="60" customHeight="1" x14ac:dyDescent="0.25">
      <c r="D282" s="69"/>
      <c r="T282" s="68"/>
    </row>
    <row r="283" spans="4:20" ht="60" customHeight="1" x14ac:dyDescent="0.25">
      <c r="D283" s="69"/>
      <c r="T283" s="68"/>
    </row>
    <row r="284" spans="4:20" ht="60" customHeight="1" x14ac:dyDescent="0.25">
      <c r="D284" s="69"/>
      <c r="T284" s="68"/>
    </row>
    <row r="285" spans="4:20" ht="60" customHeight="1" x14ac:dyDescent="0.25">
      <c r="D285" s="69"/>
      <c r="T285" s="68"/>
    </row>
    <row r="286" spans="4:20" ht="60" customHeight="1" x14ac:dyDescent="0.25">
      <c r="D286" s="69"/>
      <c r="T286" s="68"/>
    </row>
    <row r="287" spans="4:20" ht="60" customHeight="1" x14ac:dyDescent="0.25">
      <c r="D287" s="69"/>
      <c r="T287" s="68"/>
    </row>
    <row r="288" spans="4:20" ht="60" customHeight="1" x14ac:dyDescent="0.25">
      <c r="D288" s="69"/>
      <c r="T288" s="68"/>
    </row>
    <row r="289" spans="4:20" ht="60" customHeight="1" x14ac:dyDescent="0.25">
      <c r="D289" s="69"/>
      <c r="T289" s="68"/>
    </row>
    <row r="290" spans="4:20" ht="60" customHeight="1" x14ac:dyDescent="0.25">
      <c r="D290" s="69"/>
      <c r="T290" s="68"/>
    </row>
    <row r="291" spans="4:20" ht="60" customHeight="1" x14ac:dyDescent="0.25">
      <c r="D291" s="69"/>
      <c r="T291" s="68"/>
    </row>
    <row r="292" spans="4:20" ht="60" customHeight="1" x14ac:dyDescent="0.25">
      <c r="D292" s="69"/>
      <c r="T292" s="68"/>
    </row>
    <row r="293" spans="4:20" ht="60" customHeight="1" x14ac:dyDescent="0.25">
      <c r="D293" s="69"/>
      <c r="T293" s="68"/>
    </row>
    <row r="294" spans="4:20" ht="60" customHeight="1" x14ac:dyDescent="0.25">
      <c r="D294" s="69"/>
      <c r="T294" s="68"/>
    </row>
    <row r="295" spans="4:20" ht="60" customHeight="1" x14ac:dyDescent="0.25">
      <c r="D295" s="69"/>
      <c r="T295" s="68"/>
    </row>
    <row r="296" spans="4:20" ht="60" customHeight="1" x14ac:dyDescent="0.25">
      <c r="D296" s="69"/>
      <c r="T296" s="68"/>
    </row>
    <row r="297" spans="4:20" ht="60" customHeight="1" x14ac:dyDescent="0.25">
      <c r="D297" s="69"/>
      <c r="T297" s="68"/>
    </row>
    <row r="298" spans="4:20" ht="60" customHeight="1" x14ac:dyDescent="0.25">
      <c r="D298" s="69"/>
      <c r="T298" s="68"/>
    </row>
    <row r="299" spans="4:20" ht="60" customHeight="1" x14ac:dyDescent="0.25">
      <c r="D299" s="69"/>
      <c r="T299" s="68"/>
    </row>
    <row r="300" spans="4:20" ht="60" customHeight="1" x14ac:dyDescent="0.25">
      <c r="D300" s="69"/>
      <c r="T300" s="68"/>
    </row>
    <row r="301" spans="4:20" ht="60" customHeight="1" x14ac:dyDescent="0.25">
      <c r="D301" s="69"/>
      <c r="T301" s="68"/>
    </row>
    <row r="302" spans="4:20" ht="60" customHeight="1" x14ac:dyDescent="0.25">
      <c r="D302" s="69"/>
      <c r="T302" s="68"/>
    </row>
  </sheetData>
  <sheetProtection sheet="1" objects="1" scenarios="1" formatColumns="0" formatRows="0"/>
  <mergeCells count="5">
    <mergeCell ref="T1:U1"/>
    <mergeCell ref="K1:M1"/>
    <mergeCell ref="N1:P1"/>
    <mergeCell ref="H1:J1"/>
    <mergeCell ref="F1:G1"/>
  </mergeCells>
  <phoneticPr fontId="6" type="noConversion"/>
  <dataValidations count="8">
    <dataValidation type="list" allowBlank="1" showInputMessage="1" showErrorMessage="1" sqref="F163:G163 F166:F167 G3:G162 G164:G233" xr:uid="{00000000-0002-0000-0600-000000000000}">
      <formula1>Level2agencysaving</formula1>
    </dataValidation>
    <dataValidation type="list" allowBlank="1" showInputMessage="1" showErrorMessage="1" sqref="F3:F165 F167:F233" xr:uid="{00000000-0002-0000-0600-000004000000}">
      <formula1>Level1agencysaving</formula1>
    </dataValidation>
    <dataValidation type="list" allowBlank="1" showInputMessage="1" showErrorMessage="1" sqref="O3:O233 I3:I233 L3:L233" xr:uid="{00000000-0002-0000-0600-000002000000}">
      <formula1>Year</formula1>
    </dataValidation>
    <dataValidation type="list" allowBlank="1" showInputMessage="1" showErrorMessage="1" sqref="E3:E233" xr:uid="{00000000-0002-0000-0600-000005000000}">
      <formula1>Unit</formula1>
    </dataValidation>
    <dataValidation type="list" allowBlank="1" showInputMessage="1" showErrorMessage="1" sqref="B3:B233" xr:uid="{00000000-0002-0000-0600-000006000000}">
      <formula1>Outcomedetail</formula1>
    </dataValidation>
    <dataValidation type="list" allowBlank="1" showInputMessage="1" showErrorMessage="1" sqref="A3:A233" xr:uid="{00000000-0002-0000-0600-000007000000}">
      <formula1>Outcomecategory</formula1>
    </dataValidation>
    <dataValidation type="list" allowBlank="1" showInputMessage="1" showErrorMessage="1" sqref="T3:T233" xr:uid="{A53D8B0B-5668-44F1-AAAA-62918918AC09}">
      <formula1>Update</formula1>
    </dataValidation>
    <dataValidation type="list" allowBlank="1" showInputMessage="1" showErrorMessage="1" sqref="R3:R233" xr:uid="{73AE9A53-E570-4B4A-9836-875B8D1EA105}">
      <formula1>RAGassessment</formula1>
    </dataValidation>
  </dataValidations>
  <hyperlinks>
    <hyperlink ref="Q71" r:id="rId1" display="Paying the Price, Cost of Mental Health Care In England to 2026 (King's Fund, 2008))" xr:uid="{5F0E32E1-A6A4-4FBB-B783-9B59D9DB7D69}"/>
    <hyperlink ref="Q189" r:id="rId2" xr:uid="{E7C2D630-130B-4B69-9BA0-E6AB35500142}"/>
    <hyperlink ref="Q190" r:id="rId3" xr:uid="{F2D1A317-EE0D-49D2-B5C0-BCFF92C35A1D}"/>
    <hyperlink ref="Q195" r:id="rId4" xr:uid="{788F1DDE-F7AA-4F87-B397-1CDE3ED43969}"/>
    <hyperlink ref="Q192" r:id="rId5" xr:uid="{063C45D5-966D-416D-831A-440A82E28B7A}"/>
    <hyperlink ref="Q188" r:id="rId6" xr:uid="{72D47277-96C8-40B7-B7BB-5902DB27AA65}"/>
    <hyperlink ref="Q191" r:id="rId7" xr:uid="{9D24C76F-C087-4366-9406-04934D8659A2}"/>
    <hyperlink ref="Q37" r:id="rId8" xr:uid="{93C6FF8D-9C59-44E0-BF2C-7C293D92AAAF}"/>
    <hyperlink ref="Q82:Q83" r:id="rId9" display="Impact Assessment of Fracture Prevention Interventions (Department of Health, 2009)" xr:uid="{5B8A8C82-4A86-4BB5-A153-A31391B38F9D}"/>
    <hyperlink ref="Q72" r:id="rId10" display="Paying the Price, Cost of Mental Health Care In England to 2026 (King's Fund, 2008))" xr:uid="{67201176-B554-4A44-9B0E-7527063DD8B8}"/>
    <hyperlink ref="Q73" r:id="rId11" display="Paying the Price, Cost of Mental Health Care In England to 2026 (King's Fund, 2008))" xr:uid="{32323AF6-C692-4AB4-9897-7C39DE231A1F}"/>
    <hyperlink ref="Q76" r:id="rId12" display="Paying the Price, Cost of Mental Health Care In England to 2026 (King's Fund, 2008))" xr:uid="{1C2F4E85-B1A2-4DC6-8D86-447FC962F348}"/>
    <hyperlink ref="Q77" r:id="rId13" display="Paying the Price, Cost of Mental Health Care In England to 2026 (King's Fund, 2008))" xr:uid="{B851FC5B-6AB2-4B88-A518-2E139B772698}"/>
    <hyperlink ref="Q79" r:id="rId14" display="Paying the Price, Cost of Mental Health Care In England to 2026 (King's Fund, 2008))" xr:uid="{A0001A90-6E5C-4AED-AA1F-490057535015}"/>
    <hyperlink ref="Q80" r:id="rId15" display="Paying the Price, Cost of Mental Health Care In England to 2026 (King's Fund, 2008))" xr:uid="{875C2CD6-51ED-489F-97E4-67758DEE111A}"/>
    <hyperlink ref="Q81" r:id="rId16" display="Paying the Price, Cost of Mental Health Care In England to 2026 (King's Fund, 2008))" xr:uid="{EC84BC35-BA7E-4356-A69D-5DFAA976D5A7}"/>
    <hyperlink ref="Q83" r:id="rId17" display="Paying the Price, Cost of Mental Health Care In England to 2026 (King's Fund, 2008))" xr:uid="{F2220A85-B01E-4DE6-89AB-A165A5614744}"/>
    <hyperlink ref="Q84" r:id="rId18" display="Paying the Price, Cost of Mental Health Care In England to 2026 (King's Fund, 2008))" xr:uid="{2B47ED82-6687-41A4-8AF5-5D3F2569A66D}"/>
    <hyperlink ref="Q87" r:id="rId19" display="Paying the Price, Cost of Mental Health Care In England to 2026 (King's Fund, 2008))" xr:uid="{DE3833EA-DA9A-41AC-845F-407905BAB411}"/>
    <hyperlink ref="Q88" r:id="rId20" display="Paying the Price, Cost of Mental Health Care In England to 2026 (King's Fund, 2008))" xr:uid="{0B573C73-D003-4F2F-A077-95C1084CEB77}"/>
    <hyperlink ref="Q91" r:id="rId21" display="Paying the Price, Cost of Mental Health Care In England to 2026 (King's Fund, 2008))" xr:uid="{C12C3289-A940-40EF-ACC4-31F56E578333}"/>
    <hyperlink ref="Q92" r:id="rId22" display="Paying the Price, Cost of Mental Health Care In England to 2026 (King's Fund, 2008))" xr:uid="{F737CB37-D972-4AE1-AB33-C164CD87312D}"/>
    <hyperlink ref="Q93" r:id="rId23" display="Paying the Price, Cost of Mental Health Care In England to 2026 (King's Fund, 2008))" xr:uid="{C63A6CBD-3669-4223-B4F1-5A15134748B1}"/>
    <hyperlink ref="Q96" r:id="rId24" display="Paying the Price, Cost of Mental Health Care In England to 2026 (King's Fund, 2008))" xr:uid="{ADA08E18-D2CB-4CED-B64A-6A17E4EAF68A}"/>
    <hyperlink ref="Q97" r:id="rId25" display="Paying the Price, Cost of Mental Health Care In England to 2026 (King's Fund, 2008))" xr:uid="{DFF25E8E-00EF-4B8B-9B3E-7C3C6EF0ED98}"/>
    <hyperlink ref="Q103" r:id="rId26" display="Paying the Price, Cost of Mental Health Care In England to 2026 (King's Fund, 2008))" xr:uid="{C59C13D9-D595-455D-8E2C-A0CA863718A4}"/>
    <hyperlink ref="Q104" r:id="rId27" display="Paying the Price, Cost of Mental Health Care In England to 2026 (King's Fund, 2008))" xr:uid="{A4637395-3877-4770-A75C-373737F0F601}"/>
    <hyperlink ref="Q113" r:id="rId28" display="Paying the Price, Cost of Mental Health Care In England to 2026 (King's Fund, 2008))" xr:uid="{ED93165C-D7F0-4C36-BD53-9DB2EAFB46DB}"/>
    <hyperlink ref="Q114" r:id="rId29" display="Paying the Price, Cost of Mental Health Care In England to 2026 (King's Fund, 2008))" xr:uid="{C373AC56-34E2-46E5-A2B1-8EC7CC36BAB3}"/>
    <hyperlink ref="Q115" r:id="rId30" display="Paying the Price, Cost of Mental Health Care In England to 2026 (King's Fund, 2008))" xr:uid="{E3AA5200-4A64-4010-9C94-118B8396D8C5}"/>
    <hyperlink ref="Q116" r:id="rId31" display="Paying the Price, Cost of Mental Health Care In England to 2026 (King's Fund, 2008))" xr:uid="{16C10BE6-E4DE-4D60-83BD-9C3EB4D39DCB}"/>
    <hyperlink ref="Q118" r:id="rId32" display="Paying the Price, Cost of Mental Health Care In England to 2026 (King's Fund, 2008))" xr:uid="{96C842B5-E948-4590-B32C-C0CBB5BCA37B}"/>
    <hyperlink ref="Q117" r:id="rId33" display="Paying the Price, Cost of Mental Health Care In England to 2026 (King's Fund, 2008))" xr:uid="{59B7F586-1B11-49A5-B4D7-76104C8D2294}"/>
    <hyperlink ref="Q119" r:id="rId34" display="Paying the Price, Cost of Mental Health Care In England to 2026 (King's Fund, 2008))" xr:uid="{71FD5D09-5FFE-4969-A862-CA601DBF04AA}"/>
    <hyperlink ref="Q120" r:id="rId35" display="Paying the Price, Cost of Mental Health Care In England to 2026 (King's Fund, 2008))" xr:uid="{D431097E-0288-4430-A1FA-D15053232D4C}"/>
    <hyperlink ref="Q224" r:id="rId36" display="Unit Costs of Health &amp; Social Care 2013 (Curtis, 2013), p.28" xr:uid="{620DCE13-542A-460C-BFD9-CFB685F27554}"/>
    <hyperlink ref="Q221" r:id="rId37" display="Unit Costs of Health &amp; Social Care 2013 (Curtis, 2013), p.28" xr:uid="{FEE7997A-5A30-4DC2-BFA7-402C22BC0031}"/>
    <hyperlink ref="Q222" r:id="rId38" display="Unit Costs of Health &amp; Social Care 2013 (Curtis, 2013), p.28" xr:uid="{44DF1C21-617D-4AC9-9F53-E950B935842A}"/>
    <hyperlink ref="Q223" r:id="rId39" display="Unit Costs of Health &amp; Social Care 2013 (Curtis, 2013), p.28" xr:uid="{13F29679-80B3-456D-8F61-AB3B0A84516F}"/>
    <hyperlink ref="Q225" r:id="rId40" display="Unit Costs of Health &amp; Social Care 2013 (Curtis, 2013), p.28" xr:uid="{4517EA01-1A68-4578-A85B-D80254C2E9D5}"/>
    <hyperlink ref="Q226" r:id="rId41" display="Unit Costs of Health &amp; Social Care 2013 (Curtis, 2013), p.28" xr:uid="{48AF00ED-7533-4462-864A-0126952C37D8}"/>
    <hyperlink ref="Q139" r:id="rId42" xr:uid="{DC744C40-CC35-4986-9B09-B40877778EB8}"/>
    <hyperlink ref="Q140" r:id="rId43" display="Unit Costs of Health &amp; Social Care 2013 (Curtis, 2013), p.28" xr:uid="{D34487B4-2A53-441D-90F9-E62BC9DBF1BA}"/>
    <hyperlink ref="Q134" r:id="rId44" display="Unit Costs of Health &amp; Social Care 2014 (Curtis, 2014), p.88" xr:uid="{E084557F-56F2-44DA-B4FD-2693C5BF7B01}"/>
    <hyperlink ref="Q69" r:id="rId45" xr:uid="{CFEBC9CC-EBDE-4F19-BAE8-F79580B045F3}"/>
    <hyperlink ref="Q217" r:id="rId46" xr:uid="{5F46A628-1035-433D-A5DD-89076D9D0EAE}"/>
    <hyperlink ref="Q218:Q220" r:id="rId47" display="The cost of perinatal mental health problems, Maternal Mental Health Alliance, pg.12" xr:uid="{39DB262D-88E9-44CD-9EB4-CD8BEF634334}"/>
    <hyperlink ref="Q171" r:id="rId48" display="Costs and benefits to service providers of making reasonable adjustments under Part III of the Disability Discrimination Act, DWP, 2002, p. " xr:uid="{5E3D422E-6555-4669-8ABA-B273B4DD4F45}"/>
    <hyperlink ref="Q172:Q173" r:id="rId49" display="Costs and benefits to service providers of making reasonable adjustments under Part III of the Disability Discrimination Act, DWP, 2002, p. " xr:uid="{19C6BF3A-620A-4237-B5F4-82C52DDEC820}"/>
    <hyperlink ref="Q161" r:id="rId50" xr:uid="{DFB8B2A9-8C33-42CC-83EA-3D71E63C9C75}"/>
    <hyperlink ref="Q162" r:id="rId51" xr:uid="{86122427-562E-4BBF-ABEF-09BC4ACFEA6C}"/>
    <hyperlink ref="Q164" r:id="rId52" xr:uid="{EEC3BC27-DB45-4A44-ADA4-B19BBB70D1B8}"/>
    <hyperlink ref="Q165" r:id="rId53" xr:uid="{F421D0E2-79BA-4E15-A90C-9B023EBE97EA}"/>
    <hyperlink ref="Q156" r:id="rId54" xr:uid="{3A9877C0-1EA4-489C-9A7D-AF985CE2850D}"/>
    <hyperlink ref="Q157:Q158" r:id="rId55" display="Improving Child Oral Health: Cost Analysis of a National Nursery Toothbrushing Programme, Anopa et al." xr:uid="{12A3C217-D501-4D3E-95E0-36F31B888CEB}"/>
    <hyperlink ref="Q215" r:id="rId56" xr:uid="{721CEC0E-9406-4EBF-B1FB-D0004CE13BF8}"/>
    <hyperlink ref="Q216" r:id="rId57" xr:uid="{A032200A-A787-4A61-B657-3D54115ED4AC}"/>
    <hyperlink ref="Q168" r:id="rId58" xr:uid="{C2BD6FEB-64E6-4708-AFF6-704D91E6541C}"/>
    <hyperlink ref="Q169" r:id="rId59" xr:uid="{53A56A26-9D4C-4375-8740-D228ED4D8428}"/>
    <hyperlink ref="Q166" r:id="rId60" xr:uid="{ACE3FEFA-6D50-43ED-8945-65EF218ABD2D}"/>
    <hyperlink ref="Q180" r:id="rId61" xr:uid="{0EF433A9-C62D-4FB5-A731-4B92E29D6468}"/>
    <hyperlink ref="Q182" r:id="rId62" xr:uid="{20FD2FCE-2F94-4BA7-95E4-BFE9E73DDB43}"/>
    <hyperlink ref="Q203" r:id="rId63" display="Unit Costs of Health &amp; Social Care 2017 (Curtis, 2017), p.61" xr:uid="{334661E3-617D-48FB-8552-DC9F5502F0F2}"/>
    <hyperlink ref="Q200" r:id="rId64" xr:uid="{18E1D4AC-F58D-4A71-9E7D-E5D8DA57EDEE}"/>
    <hyperlink ref="Q135" r:id="rId65" display="Unit Costs of Health &amp; Social Care 2017 (Curtis, 2017), p.185" xr:uid="{99783E3F-4B0F-402C-83D3-3BF14A8EE26E}"/>
    <hyperlink ref="Q112" r:id="rId66" display="Unit Costs of Health &amp; Social Care 2017 (Curtis, 2017), p.185" xr:uid="{6DFC9AAE-B65D-4E13-A9E2-371AEA93C233}"/>
    <hyperlink ref="Q111" r:id="rId67" display="Unit Costs of Health &amp; Social Care 2017 (Curtis, 2017), p.185" xr:uid="{346A1F39-D260-4579-B3AA-117E4EA5F3A5}"/>
    <hyperlink ref="Q132" r:id="rId68" display="Unit Costs of Health &amp; Social Care 2017 (Curtis, 2017), p.185" xr:uid="{F578BA3B-3F80-4E9F-B756-6837D769B0E3}"/>
    <hyperlink ref="Q131" r:id="rId69" display="Unit Costs of Health &amp; Social Care 2017 (Curtis, 2017), p.185" xr:uid="{C4082260-DC3E-4A97-8797-8191DCC29A5E}"/>
    <hyperlink ref="Q130" r:id="rId70" display="Unit Costs of Health &amp; Social Care 2017 (Curtis, 2017), p.185" xr:uid="{D50BC390-064F-48DF-B8A3-DECA33F66982}"/>
    <hyperlink ref="Q129" r:id="rId71" xr:uid="{9478186C-4818-4CA8-BC85-6F3A01E45A2F}"/>
    <hyperlink ref="Q185" r:id="rId72" xr:uid="{C6626330-6AFA-4C03-9585-4A608446BB48}"/>
    <hyperlink ref="Q187" r:id="rId73" display="Unit Costs of Health &amp; Social Care 2020 (Curtis, 2020). p 43" xr:uid="{01AE97EA-16E0-4F2B-B924-85AA993D3E79}"/>
    <hyperlink ref="Q47" r:id="rId74" xr:uid="{9D294586-31C5-466A-8554-B1076E096C2B}"/>
    <hyperlink ref="Q186" r:id="rId75" xr:uid="{4083C721-646C-4083-BA34-2F3BECD5D437}"/>
    <hyperlink ref="Q214" r:id="rId76" xr:uid="{6BFF8A46-AD3F-41FE-BB10-5F40657BF6BF}"/>
    <hyperlink ref="Q66" r:id="rId77" xr:uid="{BA2AFFBC-1220-419E-90D7-56FFAD83307B}"/>
    <hyperlink ref="Q67:Q68" r:id="rId78" display="Unit Costs of Health &amp; Social Care 2020 (Curtis, 2020). p 150" xr:uid="{9D5E870C-2562-4DA8-84E1-2B0788A8566C}"/>
    <hyperlink ref="Q137" r:id="rId79" xr:uid="{FFE5AE88-32B5-48FA-8D8F-6C847EB7616F}"/>
    <hyperlink ref="Q138" r:id="rId80" xr:uid="{32182D80-A7E6-4423-9673-9B5F5382697F}"/>
    <hyperlink ref="Q141" r:id="rId81" xr:uid="{A083AE02-AB39-48EB-8F2D-534EC0D01B11}"/>
    <hyperlink ref="Q143" r:id="rId82" xr:uid="{ABCF2532-F7AB-4521-B362-DEBB7367F36B}"/>
    <hyperlink ref="Q144" r:id="rId83" xr:uid="{3CD7B344-7136-452C-AB54-ED0C1F739ADD}"/>
    <hyperlink ref="Q145" r:id="rId84" display="Unit Costs of Health &amp; Social Care 2020 (Curtis, 2020). p 123" xr:uid="{933DF008-26AD-4381-9403-1E4AF8900DCF}"/>
    <hyperlink ref="Q147" r:id="rId85" xr:uid="{9E827442-3111-4BFF-983C-57F0555A8D52}"/>
    <hyperlink ref="Q159" r:id="rId86" xr:uid="{ECA46708-9127-45EE-A444-58A15BBADDDA}"/>
    <hyperlink ref="Q211" r:id="rId87" xr:uid="{73E9E4C7-3650-431A-8DFE-420754857526}"/>
    <hyperlink ref="Q212" r:id="rId88" xr:uid="{3DF66560-A1B1-42F4-91E1-F294D745DF8C}"/>
    <hyperlink ref="Q213" r:id="rId89" xr:uid="{14BA6DFB-5038-48F7-A704-5EEA9BE1E02C}"/>
    <hyperlink ref="Q67" r:id="rId90" xr:uid="{380EEE0E-26D4-4632-9E3A-BD5AA7D45D57}"/>
    <hyperlink ref="Q68" r:id="rId91" xr:uid="{C273D1A8-831C-4457-A715-39779A5EA8E0}"/>
    <hyperlink ref="Q54" r:id="rId92" xr:uid="{95073B31-10A0-406A-9A32-B65B4F4D72B1}"/>
    <hyperlink ref="Q63" r:id="rId93" xr:uid="{10C0C62C-A8E5-4D67-BF59-119A794E5006}"/>
    <hyperlink ref="Q64" r:id="rId94" xr:uid="{AFAAE22D-87C7-4709-877A-B09C48AA03B5}"/>
    <hyperlink ref="Q65" r:id="rId95" xr:uid="{AD5A1D58-E3C5-4245-855F-1E52397B3E68}"/>
    <hyperlink ref="Q181" r:id="rId96" display="National Cost Collection: National Schedule of Reference Costs - Year 2020-21 - NHS trusts and NHS foundation trusts (weighted average of values against Rehab currency code VC26Z x level 1/2/3)" xr:uid="{D844564F-667A-48EA-B1B7-7102D78683CD}"/>
    <hyperlink ref="Q3" r:id="rId97" display="National Cost Collection: National Schedule of Reference Costs - Year 2020-21 - NHS trusts and NHS foundation trusts (weighted average of currency codes ASS01 and ASS02, 'AMB' worksheet)" xr:uid="{B6FCE24D-F4ED-4B0A-8709-7777BA9B7ADE}"/>
    <hyperlink ref="Q17" r:id="rId98" display="National Schedule of Reference Costs 2019-20 for NHS trusts and NHS foundation trusts.  Weighted average of all elective inpatient, non-elective inpatient (long stay) and non-elective inpatient (short stay) data" xr:uid="{28610892-82F3-484E-9FD7-4379B6FDD4DF}"/>
    <hyperlink ref="Q8" r:id="rId99" display="National Cost Collection: National Schedule of Reference Costs - Year 2020-21 - NHS trusts and NHS foundation trusts (weighted average of values against HRG code, sheet AE VB01Z to VB99Z)" xr:uid="{58F36F84-8489-44A5-BF3E-4B98140BCF32}"/>
    <hyperlink ref="Q9:Q11" r:id="rId100" display="National Schedule of Reference Costs 2019-20  for NHS trusts and NHS foundation trusts (weighted average of values against HRG code, sheet AE VB01Z to VB11Z)" xr:uid="{57485F30-6B50-4720-A031-79BBB726EE3D}"/>
    <hyperlink ref="Q9" r:id="rId101" display="National Schedule of Reference Costs 2019-20 for NHS trusts and NHS foundation trusts (weighted average of values against HRG code, sheet AE VB11Z)" xr:uid="{93DA14FD-7312-4597-A099-B609EF27DE1F}"/>
    <hyperlink ref="Q12" r:id="rId102" display="National Schedule of Reference Costs 2019-20 for NHS trusts and NHS foundation trusts (weighted average of values against HRG code, sheet AE VB01Z to VB10Z)" xr:uid="{79D401DF-0BBE-4E31-98BA-4B3BC34EE15D}"/>
    <hyperlink ref="Q10" r:id="rId103" display="National Schedule of Reference Costs 2019-20 for NHS trusts and NHS foundation trusts (weighted average of values against HRG code, sheet AE VB11Z and VB99Z ADMITTANCE)" xr:uid="{C4E17DD4-527E-4468-9960-447DE823F4FA}"/>
    <hyperlink ref="Q11" r:id="rId104" display="National Schedule of Reference Costs 2019-20 for NHS trusts and NHS foundation trusts (weighted average of values against HRG code, sheet AE VB01Z to VB99Z NON ADMITTANCE)" xr:uid="{38510F53-D9AE-44C4-B230-715E261CE6D3}"/>
    <hyperlink ref="Q13" r:id="rId105" display="National Schedule of Reference Costs 2019-20 for NHS trusts and NHS foundation trusts (weighted average of values against HRG code, sheet AE VB01Z to VB10Z ADMITTANCE)" xr:uid="{70CA6C26-59FF-490F-B348-7FFAB72135E8}"/>
    <hyperlink ref="Q14" r:id="rId106" display="National Schedule of Reference Costs 2019-20 for NHS trusts and NHS foundation trusts (weighted average of values against HRG code, sheet AE VB01Z to VB10Z NON-ADMITTANCE)" xr:uid="{DFF5906B-AE9D-4001-A090-CE7C6C109CB4}"/>
    <hyperlink ref="Q15" r:id="rId107" display="National Schedule of Reference Costs 2019-20 for NHS trusts and NHS foundation trusts (weighted average of values against HRG code, sheet AE VB01Z to VB99Z ADMITTANCE)" xr:uid="{24B2684B-3073-4ED2-8C9B-24755090A2B7}"/>
    <hyperlink ref="Q16" r:id="rId108" display="National Schedule of Reference Costs 2019-20 for NHS trusts and NHS foundation trusts (weighted average of values against HRG code, sheet AE VB01Z to VB99Z NON-ADMITTANCE)" xr:uid="{A39B4A32-CC3D-46A9-B933-B94744D78765}"/>
    <hyperlink ref="Q36" r:id="rId109" xr:uid="{255E3A10-1EF8-4823-8861-62121F000C9D}"/>
    <hyperlink ref="Q45" r:id="rId110" display="National Cost Collection: National Schedule of Reference Costs - Year 2020-21 - NHS trusts and NHS foundation trusts (weighted average of all entries, 'Total Outpatient Attendance' worksheet)" xr:uid="{50A6FC71-1B87-4DF9-819F-D45A53D8BE5D}"/>
    <hyperlink ref="Q46" r:id="rId111" display="National Cost Collection: National Schedule of Reference Costs - Year 2020-21 - NHS trusts and NHS foundation trusts (weighted average of all entries, 'OPROC' worksheet)" xr:uid="{5138D37A-A595-41DE-8C5F-DD14583D21D9}"/>
    <hyperlink ref="Q38" r:id="rId112" xr:uid="{CE06644F-FB38-4937-ACCB-31D9ACBFB6FF}"/>
    <hyperlink ref="Q39" r:id="rId113" xr:uid="{B5474E90-35FA-4659-86DD-C291ACB29A3F}"/>
    <hyperlink ref="Q40" r:id="rId114" xr:uid="{FFCA2D15-886E-4A59-B534-F298D805A9D2}"/>
    <hyperlink ref="Q41" r:id="rId115" xr:uid="{147C21C6-1C2A-43EA-AC44-664764CD720B}"/>
    <hyperlink ref="Q53" r:id="rId116" display="National Schedule of Reference Costs 2019-20 for NHS trusts and NHS foundation trusts - weighted average of hospital day care facilities regular attendances data (currency codes 'DCFRAD' ON 'CHS' worksheet)" xr:uid="{038915B0-7303-4E7D-BFE0-E0C99B2F6A81}"/>
    <hyperlink ref="Q52" r:id="rId117" display="National Cost Collection: National Schedule of Reference Costs - Year 2020-21 - NHS trusts and NHS foundation trusts (weighted average of all day cases, 'DC' worksheet)" xr:uid="{69E75742-18A6-4064-9C81-2DEA139DF60A}"/>
    <hyperlink ref="Q48" r:id="rId118" display="National Cost Collection: National Schedule of Reference Costs - Year 2020-21 - NHS trusts and NHS foundation trusts (cost code 800, 'Total Outpatient Attendance' worksheet)" xr:uid="{5BACBCF7-15AC-488D-B1C1-BA51451A6B56}"/>
    <hyperlink ref="Q50" r:id="rId119" display="National Cost Collection: National Schedule of Reference Costs - Year 2020-21 - NHS trusts and NHS foundation trusts (weighted average of currency codes A08A1-A08CG, 'Other currencies' worksheet)" xr:uid="{57B7F7FF-96C4-4636-9831-555CF0A7880B}"/>
    <hyperlink ref="Q49" r:id="rId120" display="National Cost Collection: National Schedule of Reference Costs - Year 2020-21 - NHS trusts and NHS foundation trusts (service code 651, 'Total Outpatient Attendance' worksheet)" xr:uid="{3019C3E6-578D-474C-A7B8-961FAC7A4D06}"/>
    <hyperlink ref="Q51" r:id="rId121" display="National Cost Collection: National Schedule of Reference Costs - Year 2020-21 - NHS trusts and NHS foundation trusts (service code 652, 'Total Outpatient Attendances' worksheet)" xr:uid="{2D10FA48-2B67-4422-8E94-7EAABBA8644E}"/>
    <hyperlink ref="Q108" r:id="rId122" display="National Schedule of Reference Costs 2019-20 for NHS trusts and NHS foundation trusts ('MH' worksheet, currency codes CAMHSOP)" xr:uid="{1DB2AE28-C5FA-415A-9B41-C976B1BD303C}"/>
    <hyperlink ref="Q106" r:id="rId123" display="National Schedule of Reference Costs 2019-20 for NHS trusts and NHS foundation trusts ('MH' worksheet, currency codes CAMHSAPC &amp; CAMHSAPCPICU)" xr:uid="{03F306F5-0FF8-4A5E-850C-2FF3B75E74FC}"/>
    <hyperlink ref="Q126" r:id="rId124" display="National Cost Collection: National Schedule of Reference Costs - Year 2020-21 - NHS trusts and NHS foundation trusts (weighted average of all currency codes, 'MHCC' worksheet)" xr:uid="{F93DFCEA-AFCF-41F1-BE17-894E354A9962}"/>
    <hyperlink ref="Q127" r:id="rId125" display="National Schedule of Reference Costs 2019-20 for NHS trusts and NHS foundation trusts ('MHCCIA' worksheet)" xr:uid="{F31B4045-448B-4F27-AB4F-BBC1FD548D7C}"/>
    <hyperlink ref="Q128" r:id="rId126" display="National Schedule of Reference Costs 2019-20 for NHS trusts and NHS foundation trusts ('SECMHCC' worksheet)" xr:uid="{98C57AFA-B9D6-43CA-882F-86A53CD66E47}"/>
    <hyperlink ref="Q133" r:id="rId127" xr:uid="{D05E5EDF-8EA4-4E61-8592-F3E82400036E}"/>
    <hyperlink ref="Q193" r:id="rId128" xr:uid="{7D2FDE51-E33D-48EA-894C-ADFA1308A9FD}"/>
    <hyperlink ref="Q194" r:id="rId129" xr:uid="{668F91A5-F305-4CAB-B886-07B3EDC5FCC3}"/>
    <hyperlink ref="Q176" r:id="rId130" display="National Cost Collection: National Schedule of Reference Costs - Year 2020-21 - NHS trusts and NHS foundation trusts (MH worksheet, currency code ALCAAP)" xr:uid="{9635C830-4BCB-4A94-AD31-D0B6C58312E4}"/>
    <hyperlink ref="Q18" r:id="rId131" display="National Schedule of Reference Costs 2019-20 for NHS trusts and NHS foundation trusts.  Weighted average of all elective inpatient data" xr:uid="{455A1C6F-FDED-43CF-8879-CFCF361C9BD5}"/>
    <hyperlink ref="Q19" r:id="rId132" display="National Schedule of Reference Costs 2019-20 for NHS trusts and NHS foundation trusts.  Weighted average of all non-elective inpatient (long stay) and non-elective inpatient (short stay) data" xr:uid="{D4F03395-4767-4403-A5D4-04BE0C928513}"/>
    <hyperlink ref="Q28" r:id="rId133" display="National Cost Collection: National Schedule of Reference Costs - Year 2020-21 - NHS trusts and NHS foundation trusts (weighted average of currency codes DZ65A to DZ65K, 'Total HRGs' worksheet)" xr:uid="{7939A4DB-2579-4CFC-A9F3-A28CD7AD855E}"/>
    <hyperlink ref="Q75" r:id="rId134" xr:uid="{ECCC5649-C68B-4CF6-96C4-47A8A59233A4}"/>
    <hyperlink ref="Q74" r:id="rId135" xr:uid="{CAA02791-9404-472A-840B-A1F27A3D2ABB}"/>
    <hyperlink ref="Q78" r:id="rId136" xr:uid="{C37B16AE-75C1-4FE7-8CFE-5E4F9E958526}"/>
    <hyperlink ref="Q82" r:id="rId137" xr:uid="{53294105-5F13-47A3-86B0-4635241D4595}"/>
    <hyperlink ref="Q86" r:id="rId138" xr:uid="{0DE7942C-8E77-44FF-82F3-DFC1B5325298}"/>
    <hyperlink ref="Q90" r:id="rId139" xr:uid="{B32B27A6-DD37-400E-A060-4566789456FE}"/>
    <hyperlink ref="Q95" r:id="rId140" xr:uid="{E602D767-AD3E-4C58-89C4-366B2D07E6EC}"/>
    <hyperlink ref="Q99" r:id="rId141" xr:uid="{40C91B30-6E30-4FF3-8902-69BC6CACD835}"/>
    <hyperlink ref="Q101" r:id="rId142" xr:uid="{E9E23020-A9EC-4D95-946E-0C18E6A2DD3D}"/>
    <hyperlink ref="Q102" r:id="rId143" xr:uid="{EA7C6378-6E25-46F9-83E2-12D7F6227D23}"/>
    <hyperlink ref="Q105" r:id="rId144" xr:uid="{C49B7DC1-7A3D-41BB-B659-AACAFF0F2EF3}"/>
    <hyperlink ref="Q170" r:id="rId145" xr:uid="{B359F837-F3C6-489E-8634-46E3EC21295F}"/>
    <hyperlink ref="Q174" r:id="rId146" xr:uid="{6B525EAB-2B56-4971-8E82-820B2FF4FB50}"/>
    <hyperlink ref="Q175" r:id="rId147" xr:uid="{6571826B-C4ED-4456-B744-770BA1A7C85C}"/>
    <hyperlink ref="Q204" r:id="rId148" xr:uid="{5221F665-0605-4DD9-91A6-2FB083CF42C5}"/>
    <hyperlink ref="Q136" r:id="rId149" display="Wellbeing Guidance for Appraisal: Supplementary Green Book Guidance" xr:uid="{50AB2EA6-6812-490B-ADEE-B7EFD6B6F0D7}"/>
    <hyperlink ref="Q29:Q30" r:id="rId150" display="National Schedule of Reference Costs 2019-20 for NHS trusts and NHS foundation trusts.  Weighted average of all elective inpatient, non-elective inpatient (long stay) and non-elective inpatient (short stay) data" xr:uid="{C9BEBBD6-9C64-4C84-B41C-5BA354DD8439}"/>
    <hyperlink ref="Q31:Q32" r:id="rId151" display="National Schedule of Reference Costs 2019-20 for NHS trusts and NHS foundation trusts.  Weighted average of all elective inpatient, non-elective inpatient (long stay) and non-elective inpatient (short stay) data" xr:uid="{AB94D6D7-45B2-423B-A75B-8C34304DCC00}"/>
    <hyperlink ref="Q146" r:id="rId152" xr:uid="{59D268BC-0300-479C-8C6F-68F4AC53760F}"/>
    <hyperlink ref="Q196" r:id="rId153" display="National Cost Collection: National Schedule of Reference Costs - Year 2020-21 - NHS trusts and NHS foundation trusts - Mental Health (currency code DRUAAP)" xr:uid="{5C190610-A424-49D6-B8CF-3271A028391B}"/>
    <hyperlink ref="Q29" r:id="rId154" display="National Cost Collection: National Schedule of Reference Costs - Year 2020-21 - NHS trusts and NHS foundation trusts (weighted average of currency codes DZ15M to DZ15R, 'Total HRGs' worksheet)" xr:uid="{71A434B4-59A3-48A3-B20B-86109CA18873}"/>
    <hyperlink ref="Q30" r:id="rId155" display="National Schedule of Reference Costs 2019-20 for NHS trusts and NHS foundation trusts.  Total HRG spreadsheet, currency codes N08AF, N08AN, N08CF, N08CN" xr:uid="{4C87D374-5E6E-4516-BCB7-40D8D637AD82}"/>
    <hyperlink ref="Q31" r:id="rId156" display="National Schedule of Reference Costs 2019-20 for NHS trusts and NHS foundation trusts.  Total HRG spreadsheet, currency codes HN22A-HN23E" xr:uid="{F6A710B5-A344-4B0C-BB57-CD89DF824946}"/>
    <hyperlink ref="Q32" r:id="rId157" display="National Schedule of Reference Costs 2019-20 for NHS trusts and NHS foundation trusts.  Total HRG spreadsheet, currency codes HN12A-HN13H" xr:uid="{0C2A30B6-0E64-4672-95AE-18D2B0E712A8}"/>
    <hyperlink ref="Q42" r:id="rId158" display="National Cost Collection: National Schedule of Reference Costs - Year 2020-21 - NHS trusts and NHS foundation trusts (weighted average of currency codes MA52A, MA52B, MA55A, MA55B, MA56A, MA556B, 'Total HRGs' worksheet)" xr:uid="{58058F93-CCEC-4B71-A4F0-4FBA44C51F94}"/>
    <hyperlink ref="Q43" r:id="rId159" display="National Cost Collection: National Schedule of Reference Costs - Year 2020-21 - NHS trusts and NHS foundation trusts (weighted average of currency codes MA50Z, MA51Z, MA53Z, MA54Z, 'Total HRGs' worksheet)" xr:uid="{7C9BAF89-52EC-4660-8BA0-2569735F88D7}"/>
    <hyperlink ref="Q44" r:id="rId160" display="National Cost Collection: National Schedule of Reference Costs - Year 2020-21 - NHS trusts and NHS foundation trusts (weighted average of currency codes MB08A, MB08B, 'Total HRGs' worksheet)" xr:uid="{7BD44061-D73E-492B-935E-9393C054409E}"/>
    <hyperlink ref="Q85" r:id="rId161" xr:uid="{35258EB4-F5CE-4AD1-9142-29C9CDCCD975}"/>
    <hyperlink ref="Q89" r:id="rId162" xr:uid="{B5B79773-29A4-4674-860F-011FB81D1D9C}"/>
    <hyperlink ref="Q121" r:id="rId163" xr:uid="{1D27FCE1-592D-4420-8510-56F217AA7734}"/>
    <hyperlink ref="Q94" r:id="rId164" xr:uid="{B44B5619-B064-4630-9AC2-75DC755C2BB5}"/>
    <hyperlink ref="Q98" r:id="rId165" xr:uid="{59436731-E2C2-4F5C-9BEC-2068A9ECCF09}"/>
    <hyperlink ref="Q100" r:id="rId166" xr:uid="{BA631360-B960-40EC-97B9-D7177CBA0257}"/>
    <hyperlink ref="Q125" r:id="rId167" xr:uid="{A81EB016-FF33-4C7F-9966-F02C782A8FE7}"/>
    <hyperlink ref="Q124" r:id="rId168" xr:uid="{0EB8514E-A29E-42A5-B675-3B020AA716CD}"/>
    <hyperlink ref="Q122" r:id="rId169" xr:uid="{35758085-0F69-462A-86C2-38F1A0F1DFD7}"/>
    <hyperlink ref="Q123" r:id="rId170" xr:uid="{E75B726D-1506-4A77-AAC4-C27095965BF5}"/>
    <hyperlink ref="Q55" r:id="rId171" xr:uid="{6B31F887-AC23-4817-BFFC-ECD315AE60B8}"/>
    <hyperlink ref="Q56" r:id="rId172" xr:uid="{6751EA77-A7B6-4A60-AF54-073D41B76610}"/>
    <hyperlink ref="Q57" r:id="rId173" xr:uid="{0ACDE989-8AD0-4BE7-8A76-870D888635A2}"/>
    <hyperlink ref="Q58" r:id="rId174" xr:uid="{54B5554C-0121-4FCA-ABC2-8F24F4EAE165}"/>
    <hyperlink ref="Q59" r:id="rId175" xr:uid="{DF83352C-5529-43F1-95C2-97FF867082CD}"/>
    <hyperlink ref="Q60" r:id="rId176" xr:uid="{F313BB30-8960-4637-B5CB-CD037724F81D}"/>
    <hyperlink ref="Q61" r:id="rId177" xr:uid="{2A81C898-48FA-4DC9-9C2B-873FE52546B2}"/>
    <hyperlink ref="Q62" r:id="rId178" xr:uid="{3B368EA4-09C7-46C5-B16A-9716798F4D96}"/>
    <hyperlink ref="Q109" r:id="rId179" display="Unit Costs of Health &amp; Social Care 2020 (Curtis, 2020). p 91" xr:uid="{405F835E-569E-4902-A4FC-C1FE47998F62}"/>
    <hyperlink ref="Q110" r:id="rId180" display="Unit Costs of Health &amp; Social Care 2020 (Curtis, 2020). p 91" xr:uid="{69D8D96A-A9EC-40F4-9E3F-EB6613313E77}"/>
    <hyperlink ref="Q107" r:id="rId181" display="Unit Costs of Health &amp; Social Care 2020 (Curtis, 2020). p 91" xr:uid="{A25E0677-B187-407D-9852-62E981B9CC14}"/>
    <hyperlink ref="Q142" r:id="rId182" display="Unit Costs of Health &amp; Social Care 2021 (Jones, 2021). p 111" xr:uid="{87D13D72-06A6-4BFA-9DDF-94A6D8BDA59F}"/>
    <hyperlink ref="Q148" r:id="rId183" xr:uid="{53B2E8BA-5EBC-4243-A0E4-F323A4F552DC}"/>
    <hyperlink ref="Q149" r:id="rId184" xr:uid="{24D77D9D-85C4-4A1A-8CFC-C4A192D23554}"/>
    <hyperlink ref="Q150" r:id="rId185" xr:uid="{9016E6F4-9540-4C5D-810D-71E88090AA0B}"/>
    <hyperlink ref="Q151" r:id="rId186" xr:uid="{B5C2EAC3-C48D-4A40-B230-9488107FA3D8}"/>
    <hyperlink ref="Q152" r:id="rId187" xr:uid="{43543ECA-AB59-44E1-9338-0722EC3ABC40}"/>
    <hyperlink ref="Q153" r:id="rId188" xr:uid="{5B3277DE-61B7-4660-89FA-229CB6DCE9C7}"/>
    <hyperlink ref="Q154" r:id="rId189" xr:uid="{C02DBC5A-1493-4377-8260-3259A00FB2CE}"/>
    <hyperlink ref="Q155" r:id="rId190" xr:uid="{8D5040C8-8E9B-4B0A-BFCA-44CCB4C7478B}"/>
    <hyperlink ref="Q160" r:id="rId191" display="Unit Costs of Health &amp; Social Care 2021 (Curtis, 2021). p 115" xr:uid="{D2E9E1AD-BCB7-4C58-9E7A-1EFA6E7B8687}"/>
    <hyperlink ref="Q177" r:id="rId192" display="National Cost Collection: National Schedule of Reference Costs - Year 2020-21 - NHS trusts and NHS foundation trusts (MH worksheet, currency code ALCAAP)" xr:uid="{BBD86B6F-A9B3-4427-BDD8-DF35C15E0B65}"/>
    <hyperlink ref="Q178" r:id="rId193" display="National Cost Collection: National Schedule of Reference Costs - Year 2020-21 - NHS trusts and NHS foundation trusts (MH worksheet, currency code ALCAAP)" xr:uid="{6421C50D-BDB8-4347-AF7E-9D852EEABDC2}"/>
    <hyperlink ref="Q179" r:id="rId194" display="National Cost Collection: National Schedule of Reference Costs - Year 2020-21 - NHS trusts and NHS foundation trusts (MH worksheet, currency code ALCAAP)" xr:uid="{3CB1A7C2-FEF4-4F22-B26C-9E53DE7F7B37}"/>
    <hyperlink ref="Q197" r:id="rId195" display="National Cost Collection: National Schedule of Reference Costs - Year 2020-21 - NHS trusts and NHS foundation trusts - Mental Health (currency code DRUAAP)" xr:uid="{1AC3A4D5-5A7E-4F6E-B63B-E398894CB245}"/>
    <hyperlink ref="Q198" r:id="rId196" display="National Cost Collection: National Schedule of Reference Costs - Year 2020-21 - NHS trusts and NHS foundation trusts - Mental Health (currency code DRUAAP)" xr:uid="{491713EA-BD99-4131-8422-5C3B907AB88E}"/>
    <hyperlink ref="Q199" r:id="rId197" display="National Cost Collection: National Schedule of Reference Costs - Year 2020-21 - NHS trusts and NHS foundation trusts - Mental Health (currency code DRUAAP)" xr:uid="{9F132E1E-139B-48D1-BF22-71B93A09052E}"/>
    <hyperlink ref="Q202" r:id="rId198" xr:uid="{A1BBA51E-D7DE-410E-A21E-AE9C3ACECD24}"/>
    <hyperlink ref="Q201" r:id="rId199" display="National Cost Collection: National Schedule of Reference Costs - Year 2020-21 - NHS trusts and NHS foundation trusts (weighted average of values against Rehab currency code VC26Z x level 1/2/3)" xr:uid="{70F8FF28-5C9C-42A0-8EAF-8025488DB7EE}"/>
    <hyperlink ref="Q4:Q7" r:id="rId200" display="National Cost Collection: National Schedule of Reference Costs - Year 2020-21 - NHS trusts and NHS foundation trusts (weighted average of currency codes ASS01 and ASS02, 'AMB' worksheet)" xr:uid="{A074FEB3-1B0C-4474-83FE-F033D2804054}"/>
    <hyperlink ref="Q7" r:id="rId201" display="National Cost Collection: National Schedule of Reference Costs - Year 2020-21 - NHS trusts and NHS foundation trusts (weighted average of currency codes ASH1, 'AMB' worksheet)" xr:uid="{3CFC1DC8-78C4-4B9C-BB0F-098AE403928F}"/>
    <hyperlink ref="Q227" r:id="rId202" display="Costs to Britain of workplace fatalities and self reported injuries and ill health , 2018/19 (Health and Safety Executive, 2020)" xr:uid="{E2247FF6-3DED-4AFE-95E1-1C6C5AE7C3E3}"/>
    <hyperlink ref="Q228" r:id="rId203" display="Costs to Britain of workplace fatalities and self reported injuries and ill health , 2018/19 (Health and Safety Executive, 2020)" xr:uid="{FB2CA899-D137-43CE-8608-BED41DC5AEAA}"/>
    <hyperlink ref="Q229" r:id="rId204" display="Costs to Britain of workplace fatalities and self reported injuries and ill health , 2018/19 (Health and Safety Executive, 2020)" xr:uid="{278B4245-7730-4DC3-AE4D-5CB41C7D88D1}"/>
    <hyperlink ref="Q230" r:id="rId205" display="Costs to Britain of workplace fatalities and self reported injuries and ill health , 2018/19 (Health and Safety Executive, 2020)" xr:uid="{669B668E-6268-4A1A-92AA-02FF6D6F12A4}"/>
    <hyperlink ref="Q231" r:id="rId206" display="Costs to Britain of workplace fatalities and self reported injuries and ill health , 2018/19 (Health and Safety Executive, 2020)" xr:uid="{45E3F983-86EA-42B2-9B9B-E2B7583973BA}"/>
    <hyperlink ref="Q232" r:id="rId207" display="Costs to Britain of workplace fatalities and self reported injuries and ill health , 2018/19 (Health and Safety Executive, 2020)" xr:uid="{E29AA6B1-20B1-4CC7-9AC2-55C4EA113351}"/>
    <hyperlink ref="Q233" r:id="rId208" display="Costs to Britain of workplace fatalities and self reported injuries and ill health , 2018/19 (Health and Safety Executive, 2020)" xr:uid="{DB6DCE01-F963-48F0-AAF6-D1D0FDAF9412}"/>
    <hyperlink ref="Q70" r:id="rId209" display="Going Home Alone - counting the cost to older people and the NHS, Royal Voluntary Service, p.33" xr:uid="{098EC223-9F62-4FEB-BF1B-A6D7454BCBA2}"/>
    <hyperlink ref="Q183" r:id="rId210" xr:uid="{A14CF10B-38E2-436B-806E-7D69667BE7DE}"/>
    <hyperlink ref="Q184" r:id="rId211" display="NICE Clinical Guideline 115: Alcohol Use Disorders - alcohol dependence, costing report (National Institute for Health and Clinical Excellence, 2011), p.20" xr:uid="{55BA13FD-871F-429C-879E-EDECDEA1AC69}"/>
  </hyperlinks>
  <pageMargins left="0.74803149606299213" right="0.74803149606299213" top="0.98425196850393704" bottom="0.98425196850393704" header="0.51181102362204722" footer="0.51181102362204722"/>
  <pageSetup paperSize="8" scale="44" orientation="landscape" r:id="rId212"/>
  <headerFooter alignWithMargins="0"/>
  <extLst>
    <ext xmlns:x14="http://schemas.microsoft.com/office/spreadsheetml/2009/9/main" uri="{78C0D931-6437-407d-A8EE-F0AAD7539E65}">
      <x14:conditionalFormattings>
        <x14:conditionalFormatting xmlns:xm="http://schemas.microsoft.com/office/excel/2006/main">
          <x14:cfRule type="cellIs" priority="274" operator="equal" id="{60764985-AD4C-464F-BB1C-27DEED87DC0F}">
            <xm:f>Lookups!$V$12</xm:f>
            <x14:dxf>
              <fill>
                <patternFill>
                  <bgColor rgb="FF92D050"/>
                </patternFill>
              </fill>
            </x14:dxf>
          </x14:cfRule>
          <x14:cfRule type="cellIs" priority="275" operator="equal" id="{6E0EEBBB-6982-4423-AE12-BA7E0059453D}">
            <xm:f>Lookups!$V$11</xm:f>
            <x14:dxf>
              <fill>
                <patternFill>
                  <bgColor rgb="FFFFC000"/>
                </patternFill>
              </fill>
            </x14:dxf>
          </x14:cfRule>
          <x14:cfRule type="cellIs" priority="276" operator="equal" id="{1092503C-C731-419C-8E14-40CC55EE0E87}">
            <xm:f>Lookups!$V$10</xm:f>
            <x14:dxf>
              <fill>
                <patternFill>
                  <bgColor rgb="FFFF0000"/>
                </patternFill>
              </fill>
            </x14:dxf>
          </x14:cfRule>
          <xm:sqref>R55 R95:R97 R99 R101:R109 R63:R93 R3:R53 R111:R147 R156:R233</xm:sqref>
        </x14:conditionalFormatting>
        <x14:conditionalFormatting xmlns:xm="http://schemas.microsoft.com/office/excel/2006/main">
          <x14:cfRule type="cellIs" priority="250" operator="equal" id="{D180FBC4-6A95-4B62-8459-464C0E652056}">
            <xm:f>Lookups!$V$12</xm:f>
            <x14:dxf>
              <fill>
                <patternFill>
                  <bgColor rgb="FF92D050"/>
                </patternFill>
              </fill>
            </x14:dxf>
          </x14:cfRule>
          <x14:cfRule type="cellIs" priority="251" operator="equal" id="{576735B5-0420-4D81-9B08-552BB0D6B279}">
            <xm:f>Lookups!$V$11</xm:f>
            <x14:dxf>
              <fill>
                <patternFill>
                  <bgColor rgb="FFFFC000"/>
                </patternFill>
              </fill>
            </x14:dxf>
          </x14:cfRule>
          <x14:cfRule type="cellIs" priority="252" operator="equal" id="{70EC9B41-2572-4FFB-8723-CB9D1DEE2815}">
            <xm:f>Lookups!$V$10</xm:f>
            <x14:dxf>
              <fill>
                <patternFill>
                  <bgColor rgb="FFFF0000"/>
                </patternFill>
              </fill>
            </x14:dxf>
          </x14:cfRule>
          <xm:sqref>R54</xm:sqref>
        </x14:conditionalFormatting>
        <x14:conditionalFormatting xmlns:xm="http://schemas.microsoft.com/office/excel/2006/main">
          <x14:cfRule type="cellIs" priority="238" operator="equal" id="{8F1E6CD8-203A-4D3B-9F58-8FC7B5C3E467}">
            <xm:f>Lookups!$V$12</xm:f>
            <x14:dxf>
              <fill>
                <patternFill>
                  <bgColor rgb="FF92D050"/>
                </patternFill>
              </fill>
            </x14:dxf>
          </x14:cfRule>
          <x14:cfRule type="cellIs" priority="239" operator="equal" id="{3F9AD18A-5956-41E4-A27F-B32977AA3FD7}">
            <xm:f>Lookups!$V$11</xm:f>
            <x14:dxf>
              <fill>
                <patternFill>
                  <bgColor rgb="FFFFC000"/>
                </patternFill>
              </fill>
            </x14:dxf>
          </x14:cfRule>
          <x14:cfRule type="cellIs" priority="240" operator="equal" id="{0FFE7CAE-D67A-4F7D-9558-3A9A2AB91CA5}">
            <xm:f>Lookups!$V$10</xm:f>
            <x14:dxf>
              <fill>
                <patternFill>
                  <bgColor rgb="FFFF0000"/>
                </patternFill>
              </fill>
            </x14:dxf>
          </x14:cfRule>
          <xm:sqref>R56:R62</xm:sqref>
        </x14:conditionalFormatting>
        <x14:conditionalFormatting xmlns:xm="http://schemas.microsoft.com/office/excel/2006/main">
          <x14:cfRule type="cellIs" priority="223" operator="between" id="{DC861C33-BA3D-4FCB-8953-84968D9ADE22}">
            <xm:f>Lookups!$T$10</xm:f>
            <xm:f>Lookups!$T$30</xm:f>
            <x14:dxf>
              <font>
                <color auto="1"/>
              </font>
              <fill>
                <patternFill>
                  <bgColor rgb="FFFF0000"/>
                </patternFill>
              </fill>
            </x14:dxf>
          </x14:cfRule>
          <x14:cfRule type="cellIs" priority="224" operator="between" id="{584D51DD-E780-4C28-BA4D-264B8C61FAC7}">
            <xm:f>Lookups!$T$31</xm:f>
            <xm:f>Lookups!$T$35</xm:f>
            <x14:dxf>
              <fill>
                <patternFill>
                  <bgColor rgb="FFFFC000"/>
                </patternFill>
              </fill>
            </x14:dxf>
          </x14:cfRule>
          <x14:cfRule type="cellIs" priority="225" operator="between" id="{74806A48-607B-4F5D-9895-72FC458C2DE7}">
            <xm:f>Lookups!$T$36</xm:f>
            <xm:f>Lookups!$T$40</xm:f>
            <x14:dxf>
              <fill>
                <patternFill>
                  <bgColor rgb="FF92D050"/>
                </patternFill>
              </fill>
            </x14:dxf>
          </x14:cfRule>
          <xm:sqref>O95:O97 L95:L97 I95:I97 I99 L99 O99 L86:L88 L90:L93 O101:O109 L101:L109 I101:I109 O3:O93 L3:L84 I3:I93 O111:O147 L111:L147 I111:I147 I156:I233 L156:L233 O156:O233</xm:sqref>
        </x14:conditionalFormatting>
        <x14:conditionalFormatting xmlns:xm="http://schemas.microsoft.com/office/excel/2006/main">
          <x14:cfRule type="cellIs" priority="220" operator="equal" id="{A274EA34-46E1-463B-B489-62D37FB66588}">
            <xm:f>Lookups!$V$12</xm:f>
            <x14:dxf>
              <fill>
                <patternFill>
                  <bgColor rgb="FF92D050"/>
                </patternFill>
              </fill>
            </x14:dxf>
          </x14:cfRule>
          <x14:cfRule type="cellIs" priority="221" operator="equal" id="{F53B9849-6980-4A03-924A-1EB9A49B0D23}">
            <xm:f>Lookups!$V$11</xm:f>
            <x14:dxf>
              <fill>
                <patternFill>
                  <bgColor rgb="FFFFC000"/>
                </patternFill>
              </fill>
            </x14:dxf>
          </x14:cfRule>
          <x14:cfRule type="cellIs" priority="222" operator="equal" id="{02393CFE-8D16-45CD-B861-81C155B8B889}">
            <xm:f>Lookups!$V$10</xm:f>
            <x14:dxf>
              <fill>
                <patternFill>
                  <bgColor rgb="FFFF0000"/>
                </patternFill>
              </fill>
            </x14:dxf>
          </x14:cfRule>
          <xm:sqref>R89</xm:sqref>
        </x14:conditionalFormatting>
        <x14:conditionalFormatting xmlns:xm="http://schemas.microsoft.com/office/excel/2006/main">
          <x14:cfRule type="cellIs" priority="217" operator="between" id="{6029E5B5-AB94-475C-9F5E-DB7DC5C2E3B4}">
            <xm:f>Lookups!$T$10</xm:f>
            <xm:f>Lookups!$T$30</xm:f>
            <x14:dxf>
              <font>
                <color auto="1"/>
              </font>
              <fill>
                <patternFill>
                  <bgColor rgb="FFFF0000"/>
                </patternFill>
              </fill>
            </x14:dxf>
          </x14:cfRule>
          <x14:cfRule type="cellIs" priority="218" operator="between" id="{6F14A70A-5749-4D6D-8E94-E6C95C4FDB76}">
            <xm:f>Lookups!$T$31</xm:f>
            <xm:f>Lookups!$T$35</xm:f>
            <x14:dxf>
              <fill>
                <patternFill>
                  <bgColor rgb="FFFFC000"/>
                </patternFill>
              </fill>
            </x14:dxf>
          </x14:cfRule>
          <x14:cfRule type="cellIs" priority="219" operator="between" id="{BDD4A744-B433-4757-840F-140E8877FEEE}">
            <xm:f>Lookups!$T$36</xm:f>
            <xm:f>Lookups!$T$40</xm:f>
            <x14:dxf>
              <fill>
                <patternFill>
                  <bgColor rgb="FF92D050"/>
                </patternFill>
              </fill>
            </x14:dxf>
          </x14:cfRule>
          <xm:sqref>I89 O89</xm:sqref>
        </x14:conditionalFormatting>
        <x14:conditionalFormatting xmlns:xm="http://schemas.microsoft.com/office/excel/2006/main">
          <x14:cfRule type="cellIs" priority="214" operator="equal" id="{F2A3E047-753F-402E-AE76-C0BF8BEBBE18}">
            <xm:f>Lookups!$V$12</xm:f>
            <x14:dxf>
              <fill>
                <patternFill>
                  <bgColor rgb="FF92D050"/>
                </patternFill>
              </fill>
            </x14:dxf>
          </x14:cfRule>
          <x14:cfRule type="cellIs" priority="215" operator="equal" id="{5BD8D0CE-C5EE-46F3-BD8D-C9834303C4AF}">
            <xm:f>Lookups!$V$11</xm:f>
            <x14:dxf>
              <fill>
                <patternFill>
                  <bgColor rgb="FFFFC000"/>
                </patternFill>
              </fill>
            </x14:dxf>
          </x14:cfRule>
          <x14:cfRule type="cellIs" priority="216" operator="equal" id="{069B1D6A-CFDC-4E53-8177-346F52D66FFD}">
            <xm:f>Lookups!$V$10</xm:f>
            <x14:dxf>
              <fill>
                <patternFill>
                  <bgColor rgb="FFFF0000"/>
                </patternFill>
              </fill>
            </x14:dxf>
          </x14:cfRule>
          <xm:sqref>R121:R125</xm:sqref>
        </x14:conditionalFormatting>
        <x14:conditionalFormatting xmlns:xm="http://schemas.microsoft.com/office/excel/2006/main">
          <x14:cfRule type="cellIs" priority="211" operator="between" id="{17A69F29-6D6F-498A-BB3D-19F38B3AA2DE}">
            <xm:f>Lookups!$T$10</xm:f>
            <xm:f>Lookups!$T$30</xm:f>
            <x14:dxf>
              <font>
                <color auto="1"/>
              </font>
              <fill>
                <patternFill>
                  <bgColor rgb="FFFF0000"/>
                </patternFill>
              </fill>
            </x14:dxf>
          </x14:cfRule>
          <x14:cfRule type="cellIs" priority="212" operator="between" id="{F1D6EA76-CC12-4A38-9E0D-3DF124089444}">
            <xm:f>Lookups!$T$31</xm:f>
            <xm:f>Lookups!$T$35</xm:f>
            <x14:dxf>
              <fill>
                <patternFill>
                  <bgColor rgb="FFFFC000"/>
                </patternFill>
              </fill>
            </x14:dxf>
          </x14:cfRule>
          <x14:cfRule type="cellIs" priority="213" operator="between" id="{EE9B0BEF-6A11-43C1-B9BB-2D54D9BA509A}">
            <xm:f>Lookups!$T$36</xm:f>
            <xm:f>Lookups!$T$40</xm:f>
            <x14:dxf>
              <fill>
                <patternFill>
                  <bgColor rgb="FF92D050"/>
                </patternFill>
              </fill>
            </x14:dxf>
          </x14:cfRule>
          <xm:sqref>I121:I125 O121:O125</xm:sqref>
        </x14:conditionalFormatting>
        <x14:conditionalFormatting xmlns:xm="http://schemas.microsoft.com/office/excel/2006/main">
          <x14:cfRule type="cellIs" priority="208" operator="equal" id="{9E6928E6-405C-4FCF-A46E-35C8F9570C3C}">
            <xm:f>Lookups!$V$12</xm:f>
            <x14:dxf>
              <fill>
                <patternFill>
                  <bgColor rgb="FF92D050"/>
                </patternFill>
              </fill>
            </x14:dxf>
          </x14:cfRule>
          <x14:cfRule type="cellIs" priority="209" operator="equal" id="{796E06DF-066A-4B4E-9AC1-931D8CBD5DF1}">
            <xm:f>Lookups!$V$11</xm:f>
            <x14:dxf>
              <fill>
                <patternFill>
                  <bgColor rgb="FFFFC000"/>
                </patternFill>
              </fill>
            </x14:dxf>
          </x14:cfRule>
          <x14:cfRule type="cellIs" priority="210" operator="equal" id="{A2772CE2-8CBB-48D0-BC31-5DCD2A14D98B}">
            <xm:f>Lookups!$V$10</xm:f>
            <x14:dxf>
              <fill>
                <patternFill>
                  <bgColor rgb="FFFF0000"/>
                </patternFill>
              </fill>
            </x14:dxf>
          </x14:cfRule>
          <xm:sqref>R94</xm:sqref>
        </x14:conditionalFormatting>
        <x14:conditionalFormatting xmlns:xm="http://schemas.microsoft.com/office/excel/2006/main">
          <x14:cfRule type="cellIs" priority="205" operator="between" id="{0965326E-3BA0-4DE9-B5FB-52E1A7ADCC55}">
            <xm:f>Lookups!$T$10</xm:f>
            <xm:f>Lookups!$T$30</xm:f>
            <x14:dxf>
              <font>
                <color auto="1"/>
              </font>
              <fill>
                <patternFill>
                  <bgColor rgb="FFFF0000"/>
                </patternFill>
              </fill>
            </x14:dxf>
          </x14:cfRule>
          <x14:cfRule type="cellIs" priority="206" operator="between" id="{0C9AF331-D927-47B5-B3B9-ACCC62F47FCE}">
            <xm:f>Lookups!$T$31</xm:f>
            <xm:f>Lookups!$T$35</xm:f>
            <x14:dxf>
              <fill>
                <patternFill>
                  <bgColor rgb="FFFFC000"/>
                </patternFill>
              </fill>
            </x14:dxf>
          </x14:cfRule>
          <x14:cfRule type="cellIs" priority="207" operator="between" id="{FEC5A660-4B7D-4BCD-81D0-4C6F0B3F1498}">
            <xm:f>Lookups!$T$36</xm:f>
            <xm:f>Lookups!$T$40</xm:f>
            <x14:dxf>
              <fill>
                <patternFill>
                  <bgColor rgb="FF92D050"/>
                </patternFill>
              </fill>
            </x14:dxf>
          </x14:cfRule>
          <xm:sqref>I94 O94</xm:sqref>
        </x14:conditionalFormatting>
        <x14:conditionalFormatting xmlns:xm="http://schemas.microsoft.com/office/excel/2006/main">
          <x14:cfRule type="cellIs" priority="202" operator="equal" id="{3BD5FCA3-0DE2-45C3-BC7F-B8453DA5BCF9}">
            <xm:f>Lookups!$V$12</xm:f>
            <x14:dxf>
              <fill>
                <patternFill>
                  <bgColor rgb="FF92D050"/>
                </patternFill>
              </fill>
            </x14:dxf>
          </x14:cfRule>
          <x14:cfRule type="cellIs" priority="203" operator="equal" id="{E008834C-7E23-4803-A266-E8425D98BDFE}">
            <xm:f>Lookups!$V$11</xm:f>
            <x14:dxf>
              <fill>
                <patternFill>
                  <bgColor rgb="FFFFC000"/>
                </patternFill>
              </fill>
            </x14:dxf>
          </x14:cfRule>
          <x14:cfRule type="cellIs" priority="204" operator="equal" id="{32F43990-8A30-4A8B-ACF5-E61A4DD42C7F}">
            <xm:f>Lookups!$V$10</xm:f>
            <x14:dxf>
              <fill>
                <patternFill>
                  <bgColor rgb="FFFF0000"/>
                </patternFill>
              </fill>
            </x14:dxf>
          </x14:cfRule>
          <xm:sqref>R94</xm:sqref>
        </x14:conditionalFormatting>
        <x14:conditionalFormatting xmlns:xm="http://schemas.microsoft.com/office/excel/2006/main">
          <x14:cfRule type="cellIs" priority="199" operator="between" id="{FA208ADF-BF04-43EF-A6E8-43B6CE7E3CC7}">
            <xm:f>Lookups!$T$10</xm:f>
            <xm:f>Lookups!$T$30</xm:f>
            <x14:dxf>
              <font>
                <color auto="1"/>
              </font>
              <fill>
                <patternFill>
                  <bgColor rgb="FFFF0000"/>
                </patternFill>
              </fill>
            </x14:dxf>
          </x14:cfRule>
          <x14:cfRule type="cellIs" priority="200" operator="between" id="{36CB09DB-0AC3-4797-A856-EEE52954270E}">
            <xm:f>Lookups!$T$31</xm:f>
            <xm:f>Lookups!$T$35</xm:f>
            <x14:dxf>
              <fill>
                <patternFill>
                  <bgColor rgb="FFFFC000"/>
                </patternFill>
              </fill>
            </x14:dxf>
          </x14:cfRule>
          <x14:cfRule type="cellIs" priority="201" operator="between" id="{02F648E7-6430-4EFE-87B6-9E290AA9E706}">
            <xm:f>Lookups!$T$36</xm:f>
            <xm:f>Lookups!$T$40</xm:f>
            <x14:dxf>
              <fill>
                <patternFill>
                  <bgColor rgb="FF92D050"/>
                </patternFill>
              </fill>
            </x14:dxf>
          </x14:cfRule>
          <xm:sqref>I94 O94</xm:sqref>
        </x14:conditionalFormatting>
        <x14:conditionalFormatting xmlns:xm="http://schemas.microsoft.com/office/excel/2006/main">
          <x14:cfRule type="cellIs" priority="196" operator="equal" id="{88A66DE0-5BD9-4DDF-9D21-10CCDF1A684B}">
            <xm:f>Lookups!$V$12</xm:f>
            <x14:dxf>
              <fill>
                <patternFill>
                  <bgColor rgb="FF92D050"/>
                </patternFill>
              </fill>
            </x14:dxf>
          </x14:cfRule>
          <x14:cfRule type="cellIs" priority="197" operator="equal" id="{419D00D9-2953-4F30-BEE1-A05A23695240}">
            <xm:f>Lookups!$V$11</xm:f>
            <x14:dxf>
              <fill>
                <patternFill>
                  <bgColor rgb="FFFFC000"/>
                </patternFill>
              </fill>
            </x14:dxf>
          </x14:cfRule>
          <x14:cfRule type="cellIs" priority="198" operator="equal" id="{6F80F92C-86FE-4CC7-B338-304DF54A9CD4}">
            <xm:f>Lookups!$V$10</xm:f>
            <x14:dxf>
              <fill>
                <patternFill>
                  <bgColor rgb="FFFF0000"/>
                </patternFill>
              </fill>
            </x14:dxf>
          </x14:cfRule>
          <xm:sqref>R98</xm:sqref>
        </x14:conditionalFormatting>
        <x14:conditionalFormatting xmlns:xm="http://schemas.microsoft.com/office/excel/2006/main">
          <x14:cfRule type="cellIs" priority="193" operator="between" id="{C1D53D3F-A2AC-401A-95C8-D22C1F7C2AF8}">
            <xm:f>Lookups!$T$10</xm:f>
            <xm:f>Lookups!$T$30</xm:f>
            <x14:dxf>
              <font>
                <color auto="1"/>
              </font>
              <fill>
                <patternFill>
                  <bgColor rgb="FFFF0000"/>
                </patternFill>
              </fill>
            </x14:dxf>
          </x14:cfRule>
          <x14:cfRule type="cellIs" priority="194" operator="between" id="{817A8C13-9476-494F-A6F6-870994C394A3}">
            <xm:f>Lookups!$T$31</xm:f>
            <xm:f>Lookups!$T$35</xm:f>
            <x14:dxf>
              <fill>
                <patternFill>
                  <bgColor rgb="FFFFC000"/>
                </patternFill>
              </fill>
            </x14:dxf>
          </x14:cfRule>
          <x14:cfRule type="cellIs" priority="195" operator="between" id="{D87B19F4-F549-48AD-9878-A23673BC28D8}">
            <xm:f>Lookups!$T$36</xm:f>
            <xm:f>Lookups!$T$40</xm:f>
            <x14:dxf>
              <fill>
                <patternFill>
                  <bgColor rgb="FF92D050"/>
                </patternFill>
              </fill>
            </x14:dxf>
          </x14:cfRule>
          <xm:sqref>I98 O98</xm:sqref>
        </x14:conditionalFormatting>
        <x14:conditionalFormatting xmlns:xm="http://schemas.microsoft.com/office/excel/2006/main">
          <x14:cfRule type="cellIs" priority="190" operator="equal" id="{DD3CB637-C585-49D3-A272-5B27EF6E0F17}">
            <xm:f>Lookups!$V$12</xm:f>
            <x14:dxf>
              <fill>
                <patternFill>
                  <bgColor rgb="FF92D050"/>
                </patternFill>
              </fill>
            </x14:dxf>
          </x14:cfRule>
          <x14:cfRule type="cellIs" priority="191" operator="equal" id="{C2554535-180B-4819-B435-161B8E6FF4F3}">
            <xm:f>Lookups!$V$11</xm:f>
            <x14:dxf>
              <fill>
                <patternFill>
                  <bgColor rgb="FFFFC000"/>
                </patternFill>
              </fill>
            </x14:dxf>
          </x14:cfRule>
          <x14:cfRule type="cellIs" priority="192" operator="equal" id="{F4CE9D71-FA0D-4325-AF10-374B25DA27E3}">
            <xm:f>Lookups!$V$10</xm:f>
            <x14:dxf>
              <fill>
                <patternFill>
                  <bgColor rgb="FFFF0000"/>
                </patternFill>
              </fill>
            </x14:dxf>
          </x14:cfRule>
          <xm:sqref>R98</xm:sqref>
        </x14:conditionalFormatting>
        <x14:conditionalFormatting xmlns:xm="http://schemas.microsoft.com/office/excel/2006/main">
          <x14:cfRule type="cellIs" priority="187" operator="between" id="{4300D84C-F914-4F2F-8A40-6714BD32254C}">
            <xm:f>Lookups!$T$10</xm:f>
            <xm:f>Lookups!$T$30</xm:f>
            <x14:dxf>
              <font>
                <color auto="1"/>
              </font>
              <fill>
                <patternFill>
                  <bgColor rgb="FFFF0000"/>
                </patternFill>
              </fill>
            </x14:dxf>
          </x14:cfRule>
          <x14:cfRule type="cellIs" priority="188" operator="between" id="{13DEB7F8-D5FE-473D-8E00-D4B91B7BFF96}">
            <xm:f>Lookups!$T$31</xm:f>
            <xm:f>Lookups!$T$35</xm:f>
            <x14:dxf>
              <fill>
                <patternFill>
                  <bgColor rgb="FFFFC000"/>
                </patternFill>
              </fill>
            </x14:dxf>
          </x14:cfRule>
          <x14:cfRule type="cellIs" priority="189" operator="between" id="{EE7FF900-59DB-4B4A-A909-716E71577FE2}">
            <xm:f>Lookups!$T$36</xm:f>
            <xm:f>Lookups!$T$40</xm:f>
            <x14:dxf>
              <fill>
                <patternFill>
                  <bgColor rgb="FF92D050"/>
                </patternFill>
              </fill>
            </x14:dxf>
          </x14:cfRule>
          <xm:sqref>I98 O98</xm:sqref>
        </x14:conditionalFormatting>
        <x14:conditionalFormatting xmlns:xm="http://schemas.microsoft.com/office/excel/2006/main">
          <x14:cfRule type="cellIs" priority="184" operator="equal" id="{745A39D3-13A4-4234-9CBF-18690CAF4CC2}">
            <xm:f>Lookups!$V$12</xm:f>
            <x14:dxf>
              <fill>
                <patternFill>
                  <bgColor rgb="FF92D050"/>
                </patternFill>
              </fill>
            </x14:dxf>
          </x14:cfRule>
          <x14:cfRule type="cellIs" priority="185" operator="equal" id="{36F0EC7F-4082-4C88-9332-FC298D2EA305}">
            <xm:f>Lookups!$V$11</xm:f>
            <x14:dxf>
              <fill>
                <patternFill>
                  <bgColor rgb="FFFFC000"/>
                </patternFill>
              </fill>
            </x14:dxf>
          </x14:cfRule>
          <x14:cfRule type="cellIs" priority="186" operator="equal" id="{1AFB85BD-080E-4408-B25F-960D5BFBA782}">
            <xm:f>Lookups!$V$10</xm:f>
            <x14:dxf>
              <fill>
                <patternFill>
                  <bgColor rgb="FFFF0000"/>
                </patternFill>
              </fill>
            </x14:dxf>
          </x14:cfRule>
          <xm:sqref>R100</xm:sqref>
        </x14:conditionalFormatting>
        <x14:conditionalFormatting xmlns:xm="http://schemas.microsoft.com/office/excel/2006/main">
          <x14:cfRule type="cellIs" priority="181" operator="between" id="{421CFC07-3012-4918-A82F-82612BD09EA2}">
            <xm:f>Lookups!$T$10</xm:f>
            <xm:f>Lookups!$T$30</xm:f>
            <x14:dxf>
              <font>
                <color auto="1"/>
              </font>
              <fill>
                <patternFill>
                  <bgColor rgb="FFFF0000"/>
                </patternFill>
              </fill>
            </x14:dxf>
          </x14:cfRule>
          <x14:cfRule type="cellIs" priority="182" operator="between" id="{5ED99575-EA5F-4DB2-A2BD-9C32DFA4A38A}">
            <xm:f>Lookups!$T$31</xm:f>
            <xm:f>Lookups!$T$35</xm:f>
            <x14:dxf>
              <fill>
                <patternFill>
                  <bgColor rgb="FFFFC000"/>
                </patternFill>
              </fill>
            </x14:dxf>
          </x14:cfRule>
          <x14:cfRule type="cellIs" priority="183" operator="between" id="{0D00C04A-AC8E-47DE-96BE-1608922B8783}">
            <xm:f>Lookups!$T$36</xm:f>
            <xm:f>Lookups!$T$40</xm:f>
            <x14:dxf>
              <fill>
                <patternFill>
                  <bgColor rgb="FF92D050"/>
                </patternFill>
              </fill>
            </x14:dxf>
          </x14:cfRule>
          <xm:sqref>I100 O100</xm:sqref>
        </x14:conditionalFormatting>
        <x14:conditionalFormatting xmlns:xm="http://schemas.microsoft.com/office/excel/2006/main">
          <x14:cfRule type="cellIs" priority="178" operator="equal" id="{28A3EC62-E638-43BA-8F9E-B8FD661C498E}">
            <xm:f>Lookups!$V$12</xm:f>
            <x14:dxf>
              <fill>
                <patternFill>
                  <bgColor rgb="FF92D050"/>
                </patternFill>
              </fill>
            </x14:dxf>
          </x14:cfRule>
          <x14:cfRule type="cellIs" priority="179" operator="equal" id="{27D47406-F7B1-44FB-8B7F-5EEBBDCA88B0}">
            <xm:f>Lookups!$V$11</xm:f>
            <x14:dxf>
              <fill>
                <patternFill>
                  <bgColor rgb="FFFFC000"/>
                </patternFill>
              </fill>
            </x14:dxf>
          </x14:cfRule>
          <x14:cfRule type="cellIs" priority="180" operator="equal" id="{15DEF9E5-0ED7-435C-BA14-D2FBB7A07195}">
            <xm:f>Lookups!$V$10</xm:f>
            <x14:dxf>
              <fill>
                <patternFill>
                  <bgColor rgb="FFFF0000"/>
                </patternFill>
              </fill>
            </x14:dxf>
          </x14:cfRule>
          <xm:sqref>R100</xm:sqref>
        </x14:conditionalFormatting>
        <x14:conditionalFormatting xmlns:xm="http://schemas.microsoft.com/office/excel/2006/main">
          <x14:cfRule type="cellIs" priority="175" operator="between" id="{D97A65E2-A2DB-4B89-9E96-3B044261A79E}">
            <xm:f>Lookups!$T$10</xm:f>
            <xm:f>Lookups!$T$30</xm:f>
            <x14:dxf>
              <font>
                <color auto="1"/>
              </font>
              <fill>
                <patternFill>
                  <bgColor rgb="FFFF0000"/>
                </patternFill>
              </fill>
            </x14:dxf>
          </x14:cfRule>
          <x14:cfRule type="cellIs" priority="176" operator="between" id="{9F58CA4A-466F-4869-9599-FDD310ECDAE6}">
            <xm:f>Lookups!$T$31</xm:f>
            <xm:f>Lookups!$T$35</xm:f>
            <x14:dxf>
              <fill>
                <patternFill>
                  <bgColor rgb="FFFFC000"/>
                </patternFill>
              </fill>
            </x14:dxf>
          </x14:cfRule>
          <x14:cfRule type="cellIs" priority="177" operator="between" id="{1539EBA6-22FD-40DD-B3C1-B08185065481}">
            <xm:f>Lookups!$T$36</xm:f>
            <xm:f>Lookups!$T$40</xm:f>
            <x14:dxf>
              <fill>
                <patternFill>
                  <bgColor rgb="FF92D050"/>
                </patternFill>
              </fill>
            </x14:dxf>
          </x14:cfRule>
          <xm:sqref>I100 O100</xm:sqref>
        </x14:conditionalFormatting>
        <x14:conditionalFormatting xmlns:xm="http://schemas.microsoft.com/office/excel/2006/main">
          <x14:cfRule type="cellIs" priority="172" operator="equal" id="{7029413E-35DE-4911-A6EE-94DFE7A8B81E}">
            <xm:f>Lookups!$V$12</xm:f>
            <x14:dxf>
              <fill>
                <patternFill>
                  <bgColor rgb="FF92D050"/>
                </patternFill>
              </fill>
            </x14:dxf>
          </x14:cfRule>
          <x14:cfRule type="cellIs" priority="173" operator="equal" id="{7638E7BD-5E3A-410D-80E5-7C84BF589590}">
            <xm:f>Lookups!$V$11</xm:f>
            <x14:dxf>
              <fill>
                <patternFill>
                  <bgColor rgb="FFFFC000"/>
                </patternFill>
              </fill>
            </x14:dxf>
          </x14:cfRule>
          <x14:cfRule type="cellIs" priority="174" operator="equal" id="{4C2FCB2A-BB12-4518-A114-3DAA5131F247}">
            <xm:f>Lookups!$V$10</xm:f>
            <x14:dxf>
              <fill>
                <patternFill>
                  <bgColor rgb="FFFF0000"/>
                </patternFill>
              </fill>
            </x14:dxf>
          </x14:cfRule>
          <xm:sqref>R125</xm:sqref>
        </x14:conditionalFormatting>
        <x14:conditionalFormatting xmlns:xm="http://schemas.microsoft.com/office/excel/2006/main">
          <x14:cfRule type="cellIs" priority="169" operator="between" id="{C2F5AF02-D45E-4F31-9917-E7542FBDAA92}">
            <xm:f>Lookups!$T$10</xm:f>
            <xm:f>Lookups!$T$30</xm:f>
            <x14:dxf>
              <font>
                <color auto="1"/>
              </font>
              <fill>
                <patternFill>
                  <bgColor rgb="FFFF0000"/>
                </patternFill>
              </fill>
            </x14:dxf>
          </x14:cfRule>
          <x14:cfRule type="cellIs" priority="170" operator="between" id="{C475DFC3-F278-49BE-B7B1-29B3E8B7DD10}">
            <xm:f>Lookups!$T$31</xm:f>
            <xm:f>Lookups!$T$35</xm:f>
            <x14:dxf>
              <fill>
                <patternFill>
                  <bgColor rgb="FFFFC000"/>
                </patternFill>
              </fill>
            </x14:dxf>
          </x14:cfRule>
          <x14:cfRule type="cellIs" priority="171" operator="between" id="{9EB38C1A-33FB-4018-934D-822C5748B5AD}">
            <xm:f>Lookups!$T$36</xm:f>
            <xm:f>Lookups!$T$40</xm:f>
            <x14:dxf>
              <fill>
                <patternFill>
                  <bgColor rgb="FF92D050"/>
                </patternFill>
              </fill>
            </x14:dxf>
          </x14:cfRule>
          <xm:sqref>I125 O125</xm:sqref>
        </x14:conditionalFormatting>
        <x14:conditionalFormatting xmlns:xm="http://schemas.microsoft.com/office/excel/2006/main">
          <x14:cfRule type="cellIs" priority="166" operator="equal" id="{9AE8DB3B-DA1F-4F31-A46D-9D2F5AE7312D}">
            <xm:f>Lookups!$V$12</xm:f>
            <x14:dxf>
              <fill>
                <patternFill>
                  <bgColor rgb="FF92D050"/>
                </patternFill>
              </fill>
            </x14:dxf>
          </x14:cfRule>
          <x14:cfRule type="cellIs" priority="167" operator="equal" id="{C9C3F957-23B0-49FD-B735-35C4787D3A3C}">
            <xm:f>Lookups!$V$11</xm:f>
            <x14:dxf>
              <fill>
                <patternFill>
                  <bgColor rgb="FFFFC000"/>
                </patternFill>
              </fill>
            </x14:dxf>
          </x14:cfRule>
          <x14:cfRule type="cellIs" priority="168" operator="equal" id="{686A1735-069F-4920-9CA8-ACD15E86C871}">
            <xm:f>Lookups!$V$10</xm:f>
            <x14:dxf>
              <fill>
                <patternFill>
                  <bgColor rgb="FFFF0000"/>
                </patternFill>
              </fill>
            </x14:dxf>
          </x14:cfRule>
          <xm:sqref>R125</xm:sqref>
        </x14:conditionalFormatting>
        <x14:conditionalFormatting xmlns:xm="http://schemas.microsoft.com/office/excel/2006/main">
          <x14:cfRule type="cellIs" priority="163" operator="between" id="{449402AC-63A8-46E5-BBCC-4CC776FDF9C6}">
            <xm:f>Lookups!$T$10</xm:f>
            <xm:f>Lookups!$T$30</xm:f>
            <x14:dxf>
              <font>
                <color auto="1"/>
              </font>
              <fill>
                <patternFill>
                  <bgColor rgb="FFFF0000"/>
                </patternFill>
              </fill>
            </x14:dxf>
          </x14:cfRule>
          <x14:cfRule type="cellIs" priority="164" operator="between" id="{570676CB-F4AA-4406-BA4A-C0BB538630DE}">
            <xm:f>Lookups!$T$31</xm:f>
            <xm:f>Lookups!$T$35</xm:f>
            <x14:dxf>
              <fill>
                <patternFill>
                  <bgColor rgb="FFFFC000"/>
                </patternFill>
              </fill>
            </x14:dxf>
          </x14:cfRule>
          <x14:cfRule type="cellIs" priority="165" operator="between" id="{0C4D8331-AA60-4519-9374-6849923F4BAA}">
            <xm:f>Lookups!$T$36</xm:f>
            <xm:f>Lookups!$T$40</xm:f>
            <x14:dxf>
              <fill>
                <patternFill>
                  <bgColor rgb="FF92D050"/>
                </patternFill>
              </fill>
            </x14:dxf>
          </x14:cfRule>
          <xm:sqref>I125 O125</xm:sqref>
        </x14:conditionalFormatting>
        <x14:conditionalFormatting xmlns:xm="http://schemas.microsoft.com/office/excel/2006/main">
          <x14:cfRule type="cellIs" priority="160" operator="equal" id="{4EB51EA2-1FC9-4F2F-AC61-D7974E2FADBC}">
            <xm:f>Lookups!$V$12</xm:f>
            <x14:dxf>
              <fill>
                <patternFill>
                  <bgColor rgb="FF92D050"/>
                </patternFill>
              </fill>
            </x14:dxf>
          </x14:cfRule>
          <x14:cfRule type="cellIs" priority="161" operator="equal" id="{199C4418-6989-423F-948D-807D0EB7E27B}">
            <xm:f>Lookups!$V$11</xm:f>
            <x14:dxf>
              <fill>
                <patternFill>
                  <bgColor rgb="FFFFC000"/>
                </patternFill>
              </fill>
            </x14:dxf>
          </x14:cfRule>
          <x14:cfRule type="cellIs" priority="162" operator="equal" id="{3419C561-9183-4C88-BDEA-76C06BFED36A}">
            <xm:f>Lookups!$V$10</xm:f>
            <x14:dxf>
              <fill>
                <patternFill>
                  <bgColor rgb="FFFF0000"/>
                </patternFill>
              </fill>
            </x14:dxf>
          </x14:cfRule>
          <xm:sqref>R124</xm:sqref>
        </x14:conditionalFormatting>
        <x14:conditionalFormatting xmlns:xm="http://schemas.microsoft.com/office/excel/2006/main">
          <x14:cfRule type="cellIs" priority="157" operator="between" id="{9123CD67-4189-4B86-97D4-964371928B0B}">
            <xm:f>Lookups!$T$10</xm:f>
            <xm:f>Lookups!$T$30</xm:f>
            <x14:dxf>
              <font>
                <color auto="1"/>
              </font>
              <fill>
                <patternFill>
                  <bgColor rgb="FFFF0000"/>
                </patternFill>
              </fill>
            </x14:dxf>
          </x14:cfRule>
          <x14:cfRule type="cellIs" priority="158" operator="between" id="{4B8CC640-CAA4-4126-8F87-63E97D9C7B91}">
            <xm:f>Lookups!$T$31</xm:f>
            <xm:f>Lookups!$T$35</xm:f>
            <x14:dxf>
              <fill>
                <patternFill>
                  <bgColor rgb="FFFFC000"/>
                </patternFill>
              </fill>
            </x14:dxf>
          </x14:cfRule>
          <x14:cfRule type="cellIs" priority="159" operator="between" id="{C58C5CC7-94B2-4635-BAFD-50D2F7CFF80B}">
            <xm:f>Lookups!$T$36</xm:f>
            <xm:f>Lookups!$T$40</xm:f>
            <x14:dxf>
              <fill>
                <patternFill>
                  <bgColor rgb="FF92D050"/>
                </patternFill>
              </fill>
            </x14:dxf>
          </x14:cfRule>
          <xm:sqref>I124 O124</xm:sqref>
        </x14:conditionalFormatting>
        <x14:conditionalFormatting xmlns:xm="http://schemas.microsoft.com/office/excel/2006/main">
          <x14:cfRule type="cellIs" priority="154" operator="equal" id="{2A8401E8-B03B-4163-BBAF-6503A37C6895}">
            <xm:f>Lookups!$V$12</xm:f>
            <x14:dxf>
              <fill>
                <patternFill>
                  <bgColor rgb="FF92D050"/>
                </patternFill>
              </fill>
            </x14:dxf>
          </x14:cfRule>
          <x14:cfRule type="cellIs" priority="155" operator="equal" id="{1DC9034C-3792-4B85-8F8D-FF956126A973}">
            <xm:f>Lookups!$V$11</xm:f>
            <x14:dxf>
              <fill>
                <patternFill>
                  <bgColor rgb="FFFFC000"/>
                </patternFill>
              </fill>
            </x14:dxf>
          </x14:cfRule>
          <x14:cfRule type="cellIs" priority="156" operator="equal" id="{A176D7EC-F41A-4B51-8E2C-1C335E8FDA9A}">
            <xm:f>Lookups!$V$10</xm:f>
            <x14:dxf>
              <fill>
                <patternFill>
                  <bgColor rgb="FFFF0000"/>
                </patternFill>
              </fill>
            </x14:dxf>
          </x14:cfRule>
          <xm:sqref>R124</xm:sqref>
        </x14:conditionalFormatting>
        <x14:conditionalFormatting xmlns:xm="http://schemas.microsoft.com/office/excel/2006/main">
          <x14:cfRule type="cellIs" priority="151" operator="between" id="{A9CFFD2D-123C-49E2-9DC3-090F97A1E853}">
            <xm:f>Lookups!$T$10</xm:f>
            <xm:f>Lookups!$T$30</xm:f>
            <x14:dxf>
              <font>
                <color auto="1"/>
              </font>
              <fill>
                <patternFill>
                  <bgColor rgb="FFFF0000"/>
                </patternFill>
              </fill>
            </x14:dxf>
          </x14:cfRule>
          <x14:cfRule type="cellIs" priority="152" operator="between" id="{829109A9-2962-46A8-9590-5810A1511A2D}">
            <xm:f>Lookups!$T$31</xm:f>
            <xm:f>Lookups!$T$35</xm:f>
            <x14:dxf>
              <fill>
                <patternFill>
                  <bgColor rgb="FFFFC000"/>
                </patternFill>
              </fill>
            </x14:dxf>
          </x14:cfRule>
          <x14:cfRule type="cellIs" priority="153" operator="between" id="{12237E0E-FEE3-44E6-AC9C-7D9DF6084ECF}">
            <xm:f>Lookups!$T$36</xm:f>
            <xm:f>Lookups!$T$40</xm:f>
            <x14:dxf>
              <fill>
                <patternFill>
                  <bgColor rgb="FF92D050"/>
                </patternFill>
              </fill>
            </x14:dxf>
          </x14:cfRule>
          <xm:sqref>I124 O124</xm:sqref>
        </x14:conditionalFormatting>
        <x14:conditionalFormatting xmlns:xm="http://schemas.microsoft.com/office/excel/2006/main">
          <x14:cfRule type="cellIs" priority="148" operator="equal" id="{32FBA721-8B6F-48FC-B830-581B7717B9DB}">
            <xm:f>Lookups!$V$12</xm:f>
            <x14:dxf>
              <fill>
                <patternFill>
                  <bgColor rgb="FF92D050"/>
                </patternFill>
              </fill>
            </x14:dxf>
          </x14:cfRule>
          <x14:cfRule type="cellIs" priority="149" operator="equal" id="{D4E7CA29-0F68-4E4F-A5AF-D8573192ABE6}">
            <xm:f>Lookups!$V$11</xm:f>
            <x14:dxf>
              <fill>
                <patternFill>
                  <bgColor rgb="FFFFC000"/>
                </patternFill>
              </fill>
            </x14:dxf>
          </x14:cfRule>
          <x14:cfRule type="cellIs" priority="150" operator="equal" id="{53A5DFED-25B5-426E-8673-8FB5F3434B4B}">
            <xm:f>Lookups!$V$10</xm:f>
            <x14:dxf>
              <fill>
                <patternFill>
                  <bgColor rgb="FFFF0000"/>
                </patternFill>
              </fill>
            </x14:dxf>
          </x14:cfRule>
          <xm:sqref>R122</xm:sqref>
        </x14:conditionalFormatting>
        <x14:conditionalFormatting xmlns:xm="http://schemas.microsoft.com/office/excel/2006/main">
          <x14:cfRule type="cellIs" priority="145" operator="between" id="{A7DDD7F4-3C69-4F03-8EF8-F2F4334421CD}">
            <xm:f>Lookups!$T$10</xm:f>
            <xm:f>Lookups!$T$30</xm:f>
            <x14:dxf>
              <font>
                <color auto="1"/>
              </font>
              <fill>
                <patternFill>
                  <bgColor rgb="FFFF0000"/>
                </patternFill>
              </fill>
            </x14:dxf>
          </x14:cfRule>
          <x14:cfRule type="cellIs" priority="146" operator="between" id="{7BB062B4-4359-44D1-9852-F0EE045B0CDF}">
            <xm:f>Lookups!$T$31</xm:f>
            <xm:f>Lookups!$T$35</xm:f>
            <x14:dxf>
              <fill>
                <patternFill>
                  <bgColor rgb="FFFFC000"/>
                </patternFill>
              </fill>
            </x14:dxf>
          </x14:cfRule>
          <x14:cfRule type="cellIs" priority="147" operator="between" id="{6E6B8BF1-6184-4337-950C-B6682732EF9E}">
            <xm:f>Lookups!$T$36</xm:f>
            <xm:f>Lookups!$T$40</xm:f>
            <x14:dxf>
              <fill>
                <patternFill>
                  <bgColor rgb="FF92D050"/>
                </patternFill>
              </fill>
            </x14:dxf>
          </x14:cfRule>
          <xm:sqref>I122 L122 O122</xm:sqref>
        </x14:conditionalFormatting>
        <x14:conditionalFormatting xmlns:xm="http://schemas.microsoft.com/office/excel/2006/main">
          <x14:cfRule type="cellIs" priority="142" operator="equal" id="{51457D0F-F145-48E7-A2DE-72287DB9C4C4}">
            <xm:f>Lookups!$V$12</xm:f>
            <x14:dxf>
              <fill>
                <patternFill>
                  <bgColor rgb="FF92D050"/>
                </patternFill>
              </fill>
            </x14:dxf>
          </x14:cfRule>
          <x14:cfRule type="cellIs" priority="143" operator="equal" id="{2A088D2E-ED44-412A-8F00-85DAEDCF8B30}">
            <xm:f>Lookups!$V$11</xm:f>
            <x14:dxf>
              <fill>
                <patternFill>
                  <bgColor rgb="FFFFC000"/>
                </patternFill>
              </fill>
            </x14:dxf>
          </x14:cfRule>
          <x14:cfRule type="cellIs" priority="144" operator="equal" id="{FA04E0D2-25E0-4E24-8DAD-6A87B21F7C5B}">
            <xm:f>Lookups!$V$10</xm:f>
            <x14:dxf>
              <fill>
                <patternFill>
                  <bgColor rgb="FFFF0000"/>
                </patternFill>
              </fill>
            </x14:dxf>
          </x14:cfRule>
          <xm:sqref>R122</xm:sqref>
        </x14:conditionalFormatting>
        <x14:conditionalFormatting xmlns:xm="http://schemas.microsoft.com/office/excel/2006/main">
          <x14:cfRule type="cellIs" priority="139" operator="between" id="{826F5A6C-CD2F-449B-B9B2-C8EED4BC17C5}">
            <xm:f>Lookups!$T$10</xm:f>
            <xm:f>Lookups!$T$30</xm:f>
            <x14:dxf>
              <font>
                <color auto="1"/>
              </font>
              <fill>
                <patternFill>
                  <bgColor rgb="FFFF0000"/>
                </patternFill>
              </fill>
            </x14:dxf>
          </x14:cfRule>
          <x14:cfRule type="cellIs" priority="140" operator="between" id="{0FB21081-336F-47B3-8C22-E47F601428F8}">
            <xm:f>Lookups!$T$31</xm:f>
            <xm:f>Lookups!$T$35</xm:f>
            <x14:dxf>
              <fill>
                <patternFill>
                  <bgColor rgb="FFFFC000"/>
                </patternFill>
              </fill>
            </x14:dxf>
          </x14:cfRule>
          <x14:cfRule type="cellIs" priority="141" operator="between" id="{BE052842-3D31-476C-9EF1-B9CF6AC46E81}">
            <xm:f>Lookups!$T$36</xm:f>
            <xm:f>Lookups!$T$40</xm:f>
            <x14:dxf>
              <fill>
                <patternFill>
                  <bgColor rgb="FF92D050"/>
                </patternFill>
              </fill>
            </x14:dxf>
          </x14:cfRule>
          <xm:sqref>I122 L122 O122</xm:sqref>
        </x14:conditionalFormatting>
        <x14:conditionalFormatting xmlns:xm="http://schemas.microsoft.com/office/excel/2006/main">
          <x14:cfRule type="cellIs" priority="136" operator="equal" id="{1ADDBCCC-864E-48AF-8498-66BD04BE49BC}">
            <xm:f>Lookups!$V$12</xm:f>
            <x14:dxf>
              <fill>
                <patternFill>
                  <bgColor rgb="FF92D050"/>
                </patternFill>
              </fill>
            </x14:dxf>
          </x14:cfRule>
          <x14:cfRule type="cellIs" priority="137" operator="equal" id="{C1292D8E-E643-4DC3-89D2-C35AC3FB47E9}">
            <xm:f>Lookups!$V$11</xm:f>
            <x14:dxf>
              <fill>
                <patternFill>
                  <bgColor rgb="FFFFC000"/>
                </patternFill>
              </fill>
            </x14:dxf>
          </x14:cfRule>
          <x14:cfRule type="cellIs" priority="138" operator="equal" id="{EAD15D48-7F4A-47A2-A254-D677B005FEC3}">
            <xm:f>Lookups!$V$10</xm:f>
            <x14:dxf>
              <fill>
                <patternFill>
                  <bgColor rgb="FFFF0000"/>
                </patternFill>
              </fill>
            </x14:dxf>
          </x14:cfRule>
          <xm:sqref>R123</xm:sqref>
        </x14:conditionalFormatting>
        <x14:conditionalFormatting xmlns:xm="http://schemas.microsoft.com/office/excel/2006/main">
          <x14:cfRule type="cellIs" priority="133" operator="between" id="{ED080D69-1CF4-4991-8D4A-74AAE7ADF007}">
            <xm:f>Lookups!$T$10</xm:f>
            <xm:f>Lookups!$T$30</xm:f>
            <x14:dxf>
              <font>
                <color auto="1"/>
              </font>
              <fill>
                <patternFill>
                  <bgColor rgb="FFFF0000"/>
                </patternFill>
              </fill>
            </x14:dxf>
          </x14:cfRule>
          <x14:cfRule type="cellIs" priority="134" operator="between" id="{11FF0CA0-742C-4FD5-B62F-A5B46FFCEC6B}">
            <xm:f>Lookups!$T$31</xm:f>
            <xm:f>Lookups!$T$35</xm:f>
            <x14:dxf>
              <fill>
                <patternFill>
                  <bgColor rgb="FFFFC000"/>
                </patternFill>
              </fill>
            </x14:dxf>
          </x14:cfRule>
          <x14:cfRule type="cellIs" priority="135" operator="between" id="{B0D8AB71-2B94-4EB9-8B80-D9047930E783}">
            <xm:f>Lookups!$T$36</xm:f>
            <xm:f>Lookups!$T$40</xm:f>
            <x14:dxf>
              <fill>
                <patternFill>
                  <bgColor rgb="FF92D050"/>
                </patternFill>
              </fill>
            </x14:dxf>
          </x14:cfRule>
          <xm:sqref>I123 O123</xm:sqref>
        </x14:conditionalFormatting>
        <x14:conditionalFormatting xmlns:xm="http://schemas.microsoft.com/office/excel/2006/main">
          <x14:cfRule type="cellIs" priority="130" operator="equal" id="{2AD13D6C-F2A7-49F0-B75C-9A1279F68949}">
            <xm:f>Lookups!$V$12</xm:f>
            <x14:dxf>
              <fill>
                <patternFill>
                  <bgColor rgb="FF92D050"/>
                </patternFill>
              </fill>
            </x14:dxf>
          </x14:cfRule>
          <x14:cfRule type="cellIs" priority="131" operator="equal" id="{637DBE18-A280-466A-BE2C-AE4934267940}">
            <xm:f>Lookups!$V$11</xm:f>
            <x14:dxf>
              <fill>
                <patternFill>
                  <bgColor rgb="FFFFC000"/>
                </patternFill>
              </fill>
            </x14:dxf>
          </x14:cfRule>
          <x14:cfRule type="cellIs" priority="132" operator="equal" id="{78F97327-A275-491E-98C2-21589C6A8BA7}">
            <xm:f>Lookups!$V$10</xm:f>
            <x14:dxf>
              <fill>
                <patternFill>
                  <bgColor rgb="FFFF0000"/>
                </patternFill>
              </fill>
            </x14:dxf>
          </x14:cfRule>
          <xm:sqref>R123</xm:sqref>
        </x14:conditionalFormatting>
        <x14:conditionalFormatting xmlns:xm="http://schemas.microsoft.com/office/excel/2006/main">
          <x14:cfRule type="cellIs" priority="127" operator="between" id="{AA746E4A-B50F-419E-8FD1-622FDC1B9C91}">
            <xm:f>Lookups!$T$10</xm:f>
            <xm:f>Lookups!$T$30</xm:f>
            <x14:dxf>
              <font>
                <color auto="1"/>
              </font>
              <fill>
                <patternFill>
                  <bgColor rgb="FFFF0000"/>
                </patternFill>
              </fill>
            </x14:dxf>
          </x14:cfRule>
          <x14:cfRule type="cellIs" priority="128" operator="between" id="{6EFF8203-C1F2-4454-8DF6-F8180C16B090}">
            <xm:f>Lookups!$T$31</xm:f>
            <xm:f>Lookups!$T$35</xm:f>
            <x14:dxf>
              <fill>
                <patternFill>
                  <bgColor rgb="FFFFC000"/>
                </patternFill>
              </fill>
            </x14:dxf>
          </x14:cfRule>
          <x14:cfRule type="cellIs" priority="129" operator="between" id="{6B5681EE-2A14-4DA7-8A22-E6430FA08411}">
            <xm:f>Lookups!$T$36</xm:f>
            <xm:f>Lookups!$T$40</xm:f>
            <x14:dxf>
              <fill>
                <patternFill>
                  <bgColor rgb="FF92D050"/>
                </patternFill>
              </fill>
            </x14:dxf>
          </x14:cfRule>
          <xm:sqref>I123 O123</xm:sqref>
        </x14:conditionalFormatting>
        <x14:conditionalFormatting xmlns:xm="http://schemas.microsoft.com/office/excel/2006/main">
          <x14:cfRule type="cellIs" priority="124" operator="between" id="{6B488718-5CDD-466F-845D-9B83E1EEF0CC}">
            <xm:f>Lookups!$T$10</xm:f>
            <xm:f>Lookups!$T$30</xm:f>
            <x14:dxf>
              <font>
                <color auto="1"/>
              </font>
              <fill>
                <patternFill>
                  <bgColor rgb="FFFF0000"/>
                </patternFill>
              </fill>
            </x14:dxf>
          </x14:cfRule>
          <x14:cfRule type="cellIs" priority="125" operator="between" id="{774F2D2B-90C7-4136-9C2A-5E97F5876BCA}">
            <xm:f>Lookups!$T$31</xm:f>
            <xm:f>Lookups!$T$35</xm:f>
            <x14:dxf>
              <fill>
                <patternFill>
                  <bgColor rgb="FFFFC000"/>
                </patternFill>
              </fill>
            </x14:dxf>
          </x14:cfRule>
          <x14:cfRule type="cellIs" priority="126" operator="between" id="{EC46BC90-02D6-4998-BC90-EA24856B4EE3}">
            <xm:f>Lookups!$T$36</xm:f>
            <xm:f>Lookups!$T$40</xm:f>
            <x14:dxf>
              <fill>
                <patternFill>
                  <bgColor rgb="FF92D050"/>
                </patternFill>
              </fill>
            </x14:dxf>
          </x14:cfRule>
          <xm:sqref>L123</xm:sqref>
        </x14:conditionalFormatting>
        <x14:conditionalFormatting xmlns:xm="http://schemas.microsoft.com/office/excel/2006/main">
          <x14:cfRule type="cellIs" priority="121" operator="between" id="{A75CF19C-ECE6-4EEC-97FE-A47100A7FA24}">
            <xm:f>Lookups!$T$10</xm:f>
            <xm:f>Lookups!$T$30</xm:f>
            <x14:dxf>
              <font>
                <color auto="1"/>
              </font>
              <fill>
                <patternFill>
                  <bgColor rgb="FFFF0000"/>
                </patternFill>
              </fill>
            </x14:dxf>
          </x14:cfRule>
          <x14:cfRule type="cellIs" priority="122" operator="between" id="{D7CB8087-9FCE-4BBF-AF60-4A9846FFEE39}">
            <xm:f>Lookups!$T$31</xm:f>
            <xm:f>Lookups!$T$35</xm:f>
            <x14:dxf>
              <fill>
                <patternFill>
                  <bgColor rgb="FFFFC000"/>
                </patternFill>
              </fill>
            </x14:dxf>
          </x14:cfRule>
          <x14:cfRule type="cellIs" priority="123" operator="between" id="{AD264E8A-87D9-4740-AC53-3128242A718A}">
            <xm:f>Lookups!$T$36</xm:f>
            <xm:f>Lookups!$T$40</xm:f>
            <x14:dxf>
              <fill>
                <patternFill>
                  <bgColor rgb="FF92D050"/>
                </patternFill>
              </fill>
            </x14:dxf>
          </x14:cfRule>
          <xm:sqref>L123</xm:sqref>
        </x14:conditionalFormatting>
        <x14:conditionalFormatting xmlns:xm="http://schemas.microsoft.com/office/excel/2006/main">
          <x14:cfRule type="cellIs" priority="118" operator="between" id="{BF2B4F9A-FEE8-4DCA-859B-CDD2C34D02EC}">
            <xm:f>Lookups!$T$10</xm:f>
            <xm:f>Lookups!$T$30</xm:f>
            <x14:dxf>
              <font>
                <color auto="1"/>
              </font>
              <fill>
                <patternFill>
                  <bgColor rgb="FFFF0000"/>
                </patternFill>
              </fill>
            </x14:dxf>
          </x14:cfRule>
          <x14:cfRule type="cellIs" priority="119" operator="between" id="{53B4F009-D6AF-4BA8-8626-DC43266A6637}">
            <xm:f>Lookups!$T$31</xm:f>
            <xm:f>Lookups!$T$35</xm:f>
            <x14:dxf>
              <fill>
                <patternFill>
                  <bgColor rgb="FFFFC000"/>
                </patternFill>
              </fill>
            </x14:dxf>
          </x14:cfRule>
          <x14:cfRule type="cellIs" priority="120" operator="between" id="{FE09D10D-578C-40CC-B82C-3E6412B962E1}">
            <xm:f>Lookups!$T$36</xm:f>
            <xm:f>Lookups!$T$40</xm:f>
            <x14:dxf>
              <fill>
                <patternFill>
                  <bgColor rgb="FF92D050"/>
                </patternFill>
              </fill>
            </x14:dxf>
          </x14:cfRule>
          <xm:sqref>L124</xm:sqref>
        </x14:conditionalFormatting>
        <x14:conditionalFormatting xmlns:xm="http://schemas.microsoft.com/office/excel/2006/main">
          <x14:cfRule type="cellIs" priority="115" operator="between" id="{0FACBAFA-FC84-474F-9817-50D2B3D15F3D}">
            <xm:f>Lookups!$T$10</xm:f>
            <xm:f>Lookups!$T$30</xm:f>
            <x14:dxf>
              <font>
                <color auto="1"/>
              </font>
              <fill>
                <patternFill>
                  <bgColor rgb="FFFF0000"/>
                </patternFill>
              </fill>
            </x14:dxf>
          </x14:cfRule>
          <x14:cfRule type="cellIs" priority="116" operator="between" id="{40B14A3C-853E-4DF8-9BFD-E61799D52E7D}">
            <xm:f>Lookups!$T$31</xm:f>
            <xm:f>Lookups!$T$35</xm:f>
            <x14:dxf>
              <fill>
                <patternFill>
                  <bgColor rgb="FFFFC000"/>
                </patternFill>
              </fill>
            </x14:dxf>
          </x14:cfRule>
          <x14:cfRule type="cellIs" priority="117" operator="between" id="{581AE0A9-9F07-4D1F-A819-6760D2FB04B5}">
            <xm:f>Lookups!$T$36</xm:f>
            <xm:f>Lookups!$T$40</xm:f>
            <x14:dxf>
              <fill>
                <patternFill>
                  <bgColor rgb="FF92D050"/>
                </patternFill>
              </fill>
            </x14:dxf>
          </x14:cfRule>
          <xm:sqref>L124</xm:sqref>
        </x14:conditionalFormatting>
        <x14:conditionalFormatting xmlns:xm="http://schemas.microsoft.com/office/excel/2006/main">
          <x14:cfRule type="cellIs" priority="112" operator="between" id="{DA968AEC-5EE5-4F07-BBDC-300DB7D68264}">
            <xm:f>Lookups!$T$10</xm:f>
            <xm:f>Lookups!$T$30</xm:f>
            <x14:dxf>
              <font>
                <color auto="1"/>
              </font>
              <fill>
                <patternFill>
                  <bgColor rgb="FFFF0000"/>
                </patternFill>
              </fill>
            </x14:dxf>
          </x14:cfRule>
          <x14:cfRule type="cellIs" priority="113" operator="between" id="{2472F2B9-9F5E-47AA-851F-00CD79207967}">
            <xm:f>Lookups!$T$31</xm:f>
            <xm:f>Lookups!$T$35</xm:f>
            <x14:dxf>
              <fill>
                <patternFill>
                  <bgColor rgb="FFFFC000"/>
                </patternFill>
              </fill>
            </x14:dxf>
          </x14:cfRule>
          <x14:cfRule type="cellIs" priority="114" operator="between" id="{5A9D122D-CF50-4BC1-A541-BC57D1CAE1B1}">
            <xm:f>Lookups!$T$36</xm:f>
            <xm:f>Lookups!$T$40</xm:f>
            <x14:dxf>
              <fill>
                <patternFill>
                  <bgColor rgb="FF92D050"/>
                </patternFill>
              </fill>
            </x14:dxf>
          </x14:cfRule>
          <xm:sqref>L125</xm:sqref>
        </x14:conditionalFormatting>
        <x14:conditionalFormatting xmlns:xm="http://schemas.microsoft.com/office/excel/2006/main">
          <x14:cfRule type="cellIs" priority="109" operator="between" id="{71B60430-D3B3-420E-81FE-D5CF2647A069}">
            <xm:f>Lookups!$T$10</xm:f>
            <xm:f>Lookups!$T$30</xm:f>
            <x14:dxf>
              <font>
                <color auto="1"/>
              </font>
              <fill>
                <patternFill>
                  <bgColor rgb="FFFF0000"/>
                </patternFill>
              </fill>
            </x14:dxf>
          </x14:cfRule>
          <x14:cfRule type="cellIs" priority="110" operator="between" id="{814E9656-B765-4CE6-9D1F-50B7F71606D5}">
            <xm:f>Lookups!$T$31</xm:f>
            <xm:f>Lookups!$T$35</xm:f>
            <x14:dxf>
              <fill>
                <patternFill>
                  <bgColor rgb="FFFFC000"/>
                </patternFill>
              </fill>
            </x14:dxf>
          </x14:cfRule>
          <x14:cfRule type="cellIs" priority="111" operator="between" id="{A58A07E6-2C0B-49D4-8F62-96637503E29F}">
            <xm:f>Lookups!$T$36</xm:f>
            <xm:f>Lookups!$T$40</xm:f>
            <x14:dxf>
              <fill>
                <patternFill>
                  <bgColor rgb="FF92D050"/>
                </patternFill>
              </fill>
            </x14:dxf>
          </x14:cfRule>
          <xm:sqref>L125</xm:sqref>
        </x14:conditionalFormatting>
        <x14:conditionalFormatting xmlns:xm="http://schemas.microsoft.com/office/excel/2006/main">
          <x14:cfRule type="cellIs" priority="106" operator="between" id="{45441210-07CA-4DB6-A712-3FBE5E7E6D89}">
            <xm:f>Lookups!$T$10</xm:f>
            <xm:f>Lookups!$T$30</xm:f>
            <x14:dxf>
              <font>
                <color auto="1"/>
              </font>
              <fill>
                <patternFill>
                  <bgColor rgb="FFFF0000"/>
                </patternFill>
              </fill>
            </x14:dxf>
          </x14:cfRule>
          <x14:cfRule type="cellIs" priority="107" operator="between" id="{3E7E33E1-9AB8-42CB-9AB8-F192CB80EEB7}">
            <xm:f>Lookups!$T$31</xm:f>
            <xm:f>Lookups!$T$35</xm:f>
            <x14:dxf>
              <fill>
                <patternFill>
                  <bgColor rgb="FFFFC000"/>
                </patternFill>
              </fill>
            </x14:dxf>
          </x14:cfRule>
          <x14:cfRule type="cellIs" priority="108" operator="between" id="{0C73269D-2408-4096-998E-FEAFFA7E292E}">
            <xm:f>Lookups!$T$36</xm:f>
            <xm:f>Lookups!$T$40</xm:f>
            <x14:dxf>
              <fill>
                <patternFill>
                  <bgColor rgb="FF92D050"/>
                </patternFill>
              </fill>
            </x14:dxf>
          </x14:cfRule>
          <xm:sqref>L121:L125</xm:sqref>
        </x14:conditionalFormatting>
        <x14:conditionalFormatting xmlns:xm="http://schemas.microsoft.com/office/excel/2006/main">
          <x14:cfRule type="cellIs" priority="103" operator="between" id="{3E1EF939-DA2F-4FD0-B71D-3893E77A2697}">
            <xm:f>Lookups!$T$10</xm:f>
            <xm:f>Lookups!$T$30</xm:f>
            <x14:dxf>
              <font>
                <color auto="1"/>
              </font>
              <fill>
                <patternFill>
                  <bgColor rgb="FFFF0000"/>
                </patternFill>
              </fill>
            </x14:dxf>
          </x14:cfRule>
          <x14:cfRule type="cellIs" priority="104" operator="between" id="{2B81F815-F1CA-4B0E-9694-1E2E9616CFE0}">
            <xm:f>Lookups!$T$31</xm:f>
            <xm:f>Lookups!$T$35</xm:f>
            <x14:dxf>
              <fill>
                <patternFill>
                  <bgColor rgb="FFFFC000"/>
                </patternFill>
              </fill>
            </x14:dxf>
          </x14:cfRule>
          <x14:cfRule type="cellIs" priority="105" operator="between" id="{97EA9889-B21A-4FBD-AE5B-B1E0195C4966}">
            <xm:f>Lookups!$T$36</xm:f>
            <xm:f>Lookups!$T$40</xm:f>
            <x14:dxf>
              <fill>
                <patternFill>
                  <bgColor rgb="FF92D050"/>
                </patternFill>
              </fill>
            </x14:dxf>
          </x14:cfRule>
          <xm:sqref>L121:L125</xm:sqref>
        </x14:conditionalFormatting>
        <x14:conditionalFormatting xmlns:xm="http://schemas.microsoft.com/office/excel/2006/main">
          <x14:cfRule type="cellIs" priority="100" operator="between" id="{3394E769-A493-4CC7-8675-DDA20DA1978D}">
            <xm:f>Lookups!$T$10</xm:f>
            <xm:f>Lookups!$T$30</xm:f>
            <x14:dxf>
              <font>
                <color auto="1"/>
              </font>
              <fill>
                <patternFill>
                  <bgColor rgb="FFFF0000"/>
                </patternFill>
              </fill>
            </x14:dxf>
          </x14:cfRule>
          <x14:cfRule type="cellIs" priority="101" operator="between" id="{441D0A20-F6C6-4E71-A179-2ACDFE6107FF}">
            <xm:f>Lookups!$T$31</xm:f>
            <xm:f>Lookups!$T$35</xm:f>
            <x14:dxf>
              <fill>
                <patternFill>
                  <bgColor rgb="FFFFC000"/>
                </patternFill>
              </fill>
            </x14:dxf>
          </x14:cfRule>
          <x14:cfRule type="cellIs" priority="102" operator="between" id="{94166136-C922-48CE-8146-708BA1FE9AC8}">
            <xm:f>Lookups!$T$36</xm:f>
            <xm:f>Lookups!$T$40</xm:f>
            <x14:dxf>
              <fill>
                <patternFill>
                  <bgColor rgb="FF92D050"/>
                </patternFill>
              </fill>
            </x14:dxf>
          </x14:cfRule>
          <xm:sqref>L85</xm:sqref>
        </x14:conditionalFormatting>
        <x14:conditionalFormatting xmlns:xm="http://schemas.microsoft.com/office/excel/2006/main">
          <x14:cfRule type="cellIs" priority="97" operator="between" id="{AEAB2844-16BE-4491-ACFC-0FE9BF0DB58F}">
            <xm:f>Lookups!$T$10</xm:f>
            <xm:f>Lookups!$T$30</xm:f>
            <x14:dxf>
              <font>
                <color auto="1"/>
              </font>
              <fill>
                <patternFill>
                  <bgColor rgb="FFFF0000"/>
                </patternFill>
              </fill>
            </x14:dxf>
          </x14:cfRule>
          <x14:cfRule type="cellIs" priority="98" operator="between" id="{90BF0211-C260-4833-88C4-C06B1E5CE1DE}">
            <xm:f>Lookups!$T$31</xm:f>
            <xm:f>Lookups!$T$35</xm:f>
            <x14:dxf>
              <fill>
                <patternFill>
                  <bgColor rgb="FFFFC000"/>
                </patternFill>
              </fill>
            </x14:dxf>
          </x14:cfRule>
          <x14:cfRule type="cellIs" priority="99" operator="between" id="{3A581A32-680C-4B7C-B22D-A840166FC3D9}">
            <xm:f>Lookups!$T$36</xm:f>
            <xm:f>Lookups!$T$40</xm:f>
            <x14:dxf>
              <fill>
                <patternFill>
                  <bgColor rgb="FF92D050"/>
                </patternFill>
              </fill>
            </x14:dxf>
          </x14:cfRule>
          <xm:sqref>L85</xm:sqref>
        </x14:conditionalFormatting>
        <x14:conditionalFormatting xmlns:xm="http://schemas.microsoft.com/office/excel/2006/main">
          <x14:cfRule type="cellIs" priority="94" operator="between" id="{6CBA6141-9D21-4670-8FA3-AF7FE8885B7F}">
            <xm:f>Lookups!$T$10</xm:f>
            <xm:f>Lookups!$T$30</xm:f>
            <x14:dxf>
              <font>
                <color auto="1"/>
              </font>
              <fill>
                <patternFill>
                  <bgColor rgb="FFFF0000"/>
                </patternFill>
              </fill>
            </x14:dxf>
          </x14:cfRule>
          <x14:cfRule type="cellIs" priority="95" operator="between" id="{020BC8E4-1829-4B05-92F3-83C343919AA6}">
            <xm:f>Lookups!$T$31</xm:f>
            <xm:f>Lookups!$T$35</xm:f>
            <x14:dxf>
              <fill>
                <patternFill>
                  <bgColor rgb="FFFFC000"/>
                </patternFill>
              </fill>
            </x14:dxf>
          </x14:cfRule>
          <x14:cfRule type="cellIs" priority="96" operator="between" id="{85131EF2-B2DD-4B80-B21D-FFE3D5E6B4BD}">
            <xm:f>Lookups!$T$36</xm:f>
            <xm:f>Lookups!$T$40</xm:f>
            <x14:dxf>
              <fill>
                <patternFill>
                  <bgColor rgb="FF92D050"/>
                </patternFill>
              </fill>
            </x14:dxf>
          </x14:cfRule>
          <xm:sqref>L89</xm:sqref>
        </x14:conditionalFormatting>
        <x14:conditionalFormatting xmlns:xm="http://schemas.microsoft.com/office/excel/2006/main">
          <x14:cfRule type="cellIs" priority="91" operator="between" id="{32837B2E-1C16-49B7-B1CF-508F7948D2A5}">
            <xm:f>Lookups!$T$10</xm:f>
            <xm:f>Lookups!$T$30</xm:f>
            <x14:dxf>
              <font>
                <color auto="1"/>
              </font>
              <fill>
                <patternFill>
                  <bgColor rgb="FFFF0000"/>
                </patternFill>
              </fill>
            </x14:dxf>
          </x14:cfRule>
          <x14:cfRule type="cellIs" priority="92" operator="between" id="{D28EE385-4AF4-43F2-BB0F-F977E75EDB18}">
            <xm:f>Lookups!$T$31</xm:f>
            <xm:f>Lookups!$T$35</xm:f>
            <x14:dxf>
              <fill>
                <patternFill>
                  <bgColor rgb="FFFFC000"/>
                </patternFill>
              </fill>
            </x14:dxf>
          </x14:cfRule>
          <x14:cfRule type="cellIs" priority="93" operator="between" id="{CDA0610B-4145-4DD8-9C90-F98CFA6BF0F8}">
            <xm:f>Lookups!$T$36</xm:f>
            <xm:f>Lookups!$T$40</xm:f>
            <x14:dxf>
              <fill>
                <patternFill>
                  <bgColor rgb="FF92D050"/>
                </patternFill>
              </fill>
            </x14:dxf>
          </x14:cfRule>
          <xm:sqref>L89</xm:sqref>
        </x14:conditionalFormatting>
        <x14:conditionalFormatting xmlns:xm="http://schemas.microsoft.com/office/excel/2006/main">
          <x14:cfRule type="cellIs" priority="82" operator="between" id="{206C5652-FF87-4962-B4E8-EF6AC0A3F644}">
            <xm:f>Lookups!$T$10</xm:f>
            <xm:f>Lookups!$T$30</xm:f>
            <x14:dxf>
              <font>
                <color auto="1"/>
              </font>
              <fill>
                <patternFill>
                  <bgColor rgb="FFFF0000"/>
                </patternFill>
              </fill>
            </x14:dxf>
          </x14:cfRule>
          <x14:cfRule type="cellIs" priority="83" operator="between" id="{F08F4DB1-52E0-4A5F-BD50-B59A46E937FA}">
            <xm:f>Lookups!$T$31</xm:f>
            <xm:f>Lookups!$T$35</xm:f>
            <x14:dxf>
              <fill>
                <patternFill>
                  <bgColor rgb="FFFFC000"/>
                </patternFill>
              </fill>
            </x14:dxf>
          </x14:cfRule>
          <x14:cfRule type="cellIs" priority="84" operator="between" id="{A1FA7F02-1927-428B-A9BF-0BFB88D6CA46}">
            <xm:f>Lookups!$T$36</xm:f>
            <xm:f>Lookups!$T$40</xm:f>
            <x14:dxf>
              <fill>
                <patternFill>
                  <bgColor rgb="FF92D050"/>
                </patternFill>
              </fill>
            </x14:dxf>
          </x14:cfRule>
          <xm:sqref>L98 L94</xm:sqref>
        </x14:conditionalFormatting>
        <x14:conditionalFormatting xmlns:xm="http://schemas.microsoft.com/office/excel/2006/main">
          <x14:cfRule type="cellIs" priority="79" operator="between" id="{B918CC5F-C37D-4CEC-9757-421F749D5EB4}">
            <xm:f>Lookups!$T$10</xm:f>
            <xm:f>Lookups!$T$30</xm:f>
            <x14:dxf>
              <font>
                <color auto="1"/>
              </font>
              <fill>
                <patternFill>
                  <bgColor rgb="FFFF0000"/>
                </patternFill>
              </fill>
            </x14:dxf>
          </x14:cfRule>
          <x14:cfRule type="cellIs" priority="80" operator="between" id="{3B3856CE-0EAC-47AA-B74D-74CBCCEF34A1}">
            <xm:f>Lookups!$T$31</xm:f>
            <xm:f>Lookups!$T$35</xm:f>
            <x14:dxf>
              <fill>
                <patternFill>
                  <bgColor rgb="FFFFC000"/>
                </patternFill>
              </fill>
            </x14:dxf>
          </x14:cfRule>
          <x14:cfRule type="cellIs" priority="81" operator="between" id="{6F55E716-F94A-45A7-A2A4-D26F6E750971}">
            <xm:f>Lookups!$T$36</xm:f>
            <xm:f>Lookups!$T$40</xm:f>
            <x14:dxf>
              <fill>
                <patternFill>
                  <bgColor rgb="FF92D050"/>
                </patternFill>
              </fill>
            </x14:dxf>
          </x14:cfRule>
          <xm:sqref>L98 L94</xm:sqref>
        </x14:conditionalFormatting>
        <x14:conditionalFormatting xmlns:xm="http://schemas.microsoft.com/office/excel/2006/main">
          <x14:cfRule type="cellIs" priority="76" operator="between" id="{D9230997-94C3-46D6-939B-9FE21AA2BF36}">
            <xm:f>Lookups!$T$10</xm:f>
            <xm:f>Lookups!$T$30</xm:f>
            <x14:dxf>
              <font>
                <color auto="1"/>
              </font>
              <fill>
                <patternFill>
                  <bgColor rgb="FFFF0000"/>
                </patternFill>
              </fill>
            </x14:dxf>
          </x14:cfRule>
          <x14:cfRule type="cellIs" priority="77" operator="between" id="{E06AA07D-A9D5-4571-9FFC-AE1A7AF9E02E}">
            <xm:f>Lookups!$T$31</xm:f>
            <xm:f>Lookups!$T$35</xm:f>
            <x14:dxf>
              <fill>
                <patternFill>
                  <bgColor rgb="FFFFC000"/>
                </patternFill>
              </fill>
            </x14:dxf>
          </x14:cfRule>
          <x14:cfRule type="cellIs" priority="78" operator="between" id="{C29492F5-61B4-4EE0-84E0-CB32E22B385C}">
            <xm:f>Lookups!$T$36</xm:f>
            <xm:f>Lookups!$T$40</xm:f>
            <x14:dxf>
              <fill>
                <patternFill>
                  <bgColor rgb="FF92D050"/>
                </patternFill>
              </fill>
            </x14:dxf>
          </x14:cfRule>
          <xm:sqref>L100</xm:sqref>
        </x14:conditionalFormatting>
        <x14:conditionalFormatting xmlns:xm="http://schemas.microsoft.com/office/excel/2006/main">
          <x14:cfRule type="cellIs" priority="73" operator="between" id="{8016D20F-4D34-44C2-9E1A-9DB32250572E}">
            <xm:f>Lookups!$T$10</xm:f>
            <xm:f>Lookups!$T$30</xm:f>
            <x14:dxf>
              <font>
                <color auto="1"/>
              </font>
              <fill>
                <patternFill>
                  <bgColor rgb="FFFF0000"/>
                </patternFill>
              </fill>
            </x14:dxf>
          </x14:cfRule>
          <x14:cfRule type="cellIs" priority="74" operator="between" id="{A9A52666-BDFF-4498-8C30-74930E8808BC}">
            <xm:f>Lookups!$T$31</xm:f>
            <xm:f>Lookups!$T$35</xm:f>
            <x14:dxf>
              <fill>
                <patternFill>
                  <bgColor rgb="FFFFC000"/>
                </patternFill>
              </fill>
            </x14:dxf>
          </x14:cfRule>
          <x14:cfRule type="cellIs" priority="75" operator="between" id="{8FE106BC-FD37-4F2C-92D9-02A6D15EA3F9}">
            <xm:f>Lookups!$T$36</xm:f>
            <xm:f>Lookups!$T$40</xm:f>
            <x14:dxf>
              <fill>
                <patternFill>
                  <bgColor rgb="FF92D050"/>
                </patternFill>
              </fill>
            </x14:dxf>
          </x14:cfRule>
          <xm:sqref>L100</xm:sqref>
        </x14:conditionalFormatting>
        <x14:conditionalFormatting xmlns:xm="http://schemas.microsoft.com/office/excel/2006/main">
          <x14:cfRule type="cellIs" priority="70" operator="equal" id="{684A68C8-8ED7-4EE0-8B1B-FFC08C012220}">
            <xm:f>Lookups!$V$12</xm:f>
            <x14:dxf>
              <fill>
                <patternFill>
                  <bgColor rgb="FF92D050"/>
                </patternFill>
              </fill>
            </x14:dxf>
          </x14:cfRule>
          <x14:cfRule type="cellIs" priority="71" operator="equal" id="{DE35C1DA-8144-42A5-B339-4C2694420059}">
            <xm:f>Lookups!$V$11</xm:f>
            <x14:dxf>
              <fill>
                <patternFill>
                  <bgColor rgb="FFFFC000"/>
                </patternFill>
              </fill>
            </x14:dxf>
          </x14:cfRule>
          <x14:cfRule type="cellIs" priority="72" operator="equal" id="{07B59802-788E-481E-A7F7-256ECE8D4D7D}">
            <xm:f>Lookups!$V$10</xm:f>
            <x14:dxf>
              <fill>
                <patternFill>
                  <bgColor rgb="FFFF0000"/>
                </patternFill>
              </fill>
            </x14:dxf>
          </x14:cfRule>
          <xm:sqref>R110</xm:sqref>
        </x14:conditionalFormatting>
        <x14:conditionalFormatting xmlns:xm="http://schemas.microsoft.com/office/excel/2006/main">
          <x14:cfRule type="cellIs" priority="67" operator="between" id="{8BEC891E-EE8D-47BC-93EC-45B3DE4D3981}">
            <xm:f>Lookups!$T$10</xm:f>
            <xm:f>Lookups!$T$30</xm:f>
            <x14:dxf>
              <font>
                <color auto="1"/>
              </font>
              <fill>
                <patternFill>
                  <bgColor rgb="FFFF0000"/>
                </patternFill>
              </fill>
            </x14:dxf>
          </x14:cfRule>
          <x14:cfRule type="cellIs" priority="68" operator="between" id="{8CEA3C0B-A6BF-4160-B5DA-B8F4B7B7C217}">
            <xm:f>Lookups!$T$31</xm:f>
            <xm:f>Lookups!$T$35</xm:f>
            <x14:dxf>
              <fill>
                <patternFill>
                  <bgColor rgb="FFFFC000"/>
                </patternFill>
              </fill>
            </x14:dxf>
          </x14:cfRule>
          <x14:cfRule type="cellIs" priority="69" operator="between" id="{CAD1DFDE-E760-4A06-98EF-F5E158FA7028}">
            <xm:f>Lookups!$T$36</xm:f>
            <xm:f>Lookups!$T$40</xm:f>
            <x14:dxf>
              <fill>
                <patternFill>
                  <bgColor rgb="FF92D050"/>
                </patternFill>
              </fill>
            </x14:dxf>
          </x14:cfRule>
          <xm:sqref>I110 L110 O110</xm:sqref>
        </x14:conditionalFormatting>
        <x14:conditionalFormatting xmlns:xm="http://schemas.microsoft.com/office/excel/2006/main">
          <x14:cfRule type="cellIs" priority="64" operator="equal" id="{CB5F713B-D941-4E07-9C83-AF38DEEE91B8}">
            <xm:f>Lookups!$V$12</xm:f>
            <x14:dxf>
              <fill>
                <patternFill>
                  <bgColor rgb="FF92D050"/>
                </patternFill>
              </fill>
            </x14:dxf>
          </x14:cfRule>
          <x14:cfRule type="cellIs" priority="65" operator="equal" id="{1FF8BFA0-8BF7-42BE-B989-18729926DE85}">
            <xm:f>Lookups!$V$11</xm:f>
            <x14:dxf>
              <fill>
                <patternFill>
                  <bgColor rgb="FFFFC000"/>
                </patternFill>
              </fill>
            </x14:dxf>
          </x14:cfRule>
          <x14:cfRule type="cellIs" priority="66" operator="equal" id="{DEB6D12D-6CCB-4D58-B4A9-F2B4D736BBA5}">
            <xm:f>Lookups!$V$10</xm:f>
            <x14:dxf>
              <fill>
                <patternFill>
                  <bgColor rgb="FFFF0000"/>
                </patternFill>
              </fill>
            </x14:dxf>
          </x14:cfRule>
          <xm:sqref>R107</xm:sqref>
        </x14:conditionalFormatting>
        <x14:conditionalFormatting xmlns:xm="http://schemas.microsoft.com/office/excel/2006/main">
          <x14:cfRule type="cellIs" priority="61" operator="between" id="{68791E8E-3A2E-4D9F-AE4B-8D16AA139D54}">
            <xm:f>Lookups!$T$10</xm:f>
            <xm:f>Lookups!$T$30</xm:f>
            <x14:dxf>
              <font>
                <color auto="1"/>
              </font>
              <fill>
                <patternFill>
                  <bgColor rgb="FFFF0000"/>
                </patternFill>
              </fill>
            </x14:dxf>
          </x14:cfRule>
          <x14:cfRule type="cellIs" priority="62" operator="between" id="{01232B9E-9DDD-45D7-A7EC-DCF3DF110BCE}">
            <xm:f>Lookups!$T$31</xm:f>
            <xm:f>Lookups!$T$35</xm:f>
            <x14:dxf>
              <fill>
                <patternFill>
                  <bgColor rgb="FFFFC000"/>
                </patternFill>
              </fill>
            </x14:dxf>
          </x14:cfRule>
          <x14:cfRule type="cellIs" priority="63" operator="between" id="{0D4AD61B-DD41-4215-971D-D21376D95ED7}">
            <xm:f>Lookups!$T$36</xm:f>
            <xm:f>Lookups!$T$40</xm:f>
            <x14:dxf>
              <fill>
                <patternFill>
                  <bgColor rgb="FF92D050"/>
                </patternFill>
              </fill>
            </x14:dxf>
          </x14:cfRule>
          <xm:sqref>I107 L107 O107</xm:sqref>
        </x14:conditionalFormatting>
        <x14:conditionalFormatting xmlns:xm="http://schemas.microsoft.com/office/excel/2006/main">
          <x14:cfRule type="cellIs" priority="58" operator="equal" id="{34AED714-2B1D-4AFB-AC63-5FC3C581B2B5}">
            <xm:f>Lookups!$V$12</xm:f>
            <x14:dxf>
              <fill>
                <patternFill>
                  <bgColor rgb="FF92D050"/>
                </patternFill>
              </fill>
            </x14:dxf>
          </x14:cfRule>
          <x14:cfRule type="cellIs" priority="59" operator="equal" id="{52D98175-4918-469A-8084-D8E119377A94}">
            <xm:f>Lookups!$V$11</xm:f>
            <x14:dxf>
              <fill>
                <patternFill>
                  <bgColor rgb="FFFFC000"/>
                </patternFill>
              </fill>
            </x14:dxf>
          </x14:cfRule>
          <x14:cfRule type="cellIs" priority="60" operator="equal" id="{547EB87A-0B72-4005-A169-2DF1D493C902}">
            <xm:f>Lookups!$V$10</xm:f>
            <x14:dxf>
              <fill>
                <patternFill>
                  <bgColor rgb="FFFF0000"/>
                </patternFill>
              </fill>
            </x14:dxf>
          </x14:cfRule>
          <xm:sqref>R148</xm:sqref>
        </x14:conditionalFormatting>
        <x14:conditionalFormatting xmlns:xm="http://schemas.microsoft.com/office/excel/2006/main">
          <x14:cfRule type="cellIs" priority="55" operator="between" id="{AEE9CA69-AFE3-4636-984B-ACCB8CA5CBFD}">
            <xm:f>Lookups!$T$10</xm:f>
            <xm:f>Lookups!$T$30</xm:f>
            <x14:dxf>
              <font>
                <color auto="1"/>
              </font>
              <fill>
                <patternFill>
                  <bgColor rgb="FFFF0000"/>
                </patternFill>
              </fill>
            </x14:dxf>
          </x14:cfRule>
          <x14:cfRule type="cellIs" priority="56" operator="between" id="{ECB5D65A-E0F3-4D94-85A1-A399A649039C}">
            <xm:f>Lookups!$T$31</xm:f>
            <xm:f>Lookups!$T$35</xm:f>
            <x14:dxf>
              <fill>
                <patternFill>
                  <bgColor rgb="FFFFC000"/>
                </patternFill>
              </fill>
            </x14:dxf>
          </x14:cfRule>
          <x14:cfRule type="cellIs" priority="57" operator="between" id="{3A897B45-9F0A-4020-AE0A-6241301B4384}">
            <xm:f>Lookups!$T$36</xm:f>
            <xm:f>Lookups!$T$40</xm:f>
            <x14:dxf>
              <fill>
                <patternFill>
                  <bgColor rgb="FF92D050"/>
                </patternFill>
              </fill>
            </x14:dxf>
          </x14:cfRule>
          <xm:sqref>I148 L148 O148</xm:sqref>
        </x14:conditionalFormatting>
        <x14:conditionalFormatting xmlns:xm="http://schemas.microsoft.com/office/excel/2006/main">
          <x14:cfRule type="cellIs" priority="52" operator="equal" id="{B0C45FF2-717C-48DE-A0B7-0FE0CEDB58F0}">
            <xm:f>Lookups!$V$12</xm:f>
            <x14:dxf>
              <fill>
                <patternFill>
                  <bgColor rgb="FF92D050"/>
                </patternFill>
              </fill>
            </x14:dxf>
          </x14:cfRule>
          <x14:cfRule type="cellIs" priority="53" operator="equal" id="{8CB3FDA4-CF1F-4A8B-933F-C3A95BD824FF}">
            <xm:f>Lookups!$V$11</xm:f>
            <x14:dxf>
              <fill>
                <patternFill>
                  <bgColor rgb="FFFFC000"/>
                </patternFill>
              </fill>
            </x14:dxf>
          </x14:cfRule>
          <x14:cfRule type="cellIs" priority="54" operator="equal" id="{ACE87552-5AB0-4232-82B3-90016CA400EE}">
            <xm:f>Lookups!$V$10</xm:f>
            <x14:dxf>
              <fill>
                <patternFill>
                  <bgColor rgb="FFFF0000"/>
                </patternFill>
              </fill>
            </x14:dxf>
          </x14:cfRule>
          <xm:sqref>R149</xm:sqref>
        </x14:conditionalFormatting>
        <x14:conditionalFormatting xmlns:xm="http://schemas.microsoft.com/office/excel/2006/main">
          <x14:cfRule type="cellIs" priority="49" operator="between" id="{6D43A5E5-E4FB-44CD-89F9-D059054AB4ED}">
            <xm:f>Lookups!$T$10</xm:f>
            <xm:f>Lookups!$T$30</xm:f>
            <x14:dxf>
              <font>
                <color auto="1"/>
              </font>
              <fill>
                <patternFill>
                  <bgColor rgb="FFFF0000"/>
                </patternFill>
              </fill>
            </x14:dxf>
          </x14:cfRule>
          <x14:cfRule type="cellIs" priority="50" operator="between" id="{75F01FE8-4DA7-4007-B6F7-5B749D2D5348}">
            <xm:f>Lookups!$T$31</xm:f>
            <xm:f>Lookups!$T$35</xm:f>
            <x14:dxf>
              <fill>
                <patternFill>
                  <bgColor rgb="FFFFC000"/>
                </patternFill>
              </fill>
            </x14:dxf>
          </x14:cfRule>
          <x14:cfRule type="cellIs" priority="51" operator="between" id="{94A1D399-0B7B-4A4D-8AC1-983EA2A48706}">
            <xm:f>Lookups!$T$36</xm:f>
            <xm:f>Lookups!$T$40</xm:f>
            <x14:dxf>
              <fill>
                <patternFill>
                  <bgColor rgb="FF92D050"/>
                </patternFill>
              </fill>
            </x14:dxf>
          </x14:cfRule>
          <xm:sqref>I149 L149 O149</xm:sqref>
        </x14:conditionalFormatting>
        <x14:conditionalFormatting xmlns:xm="http://schemas.microsoft.com/office/excel/2006/main">
          <x14:cfRule type="cellIs" priority="46" operator="equal" id="{61E6F6A8-99A8-4829-A2CF-58D5B6CE485D}">
            <xm:f>Lookups!$V$12</xm:f>
            <x14:dxf>
              <fill>
                <patternFill>
                  <bgColor rgb="FF92D050"/>
                </patternFill>
              </fill>
            </x14:dxf>
          </x14:cfRule>
          <x14:cfRule type="cellIs" priority="47" operator="equal" id="{457CE2B0-1B79-4FBC-A0C6-8D6858CED558}">
            <xm:f>Lookups!$V$11</xm:f>
            <x14:dxf>
              <fill>
                <patternFill>
                  <bgColor rgb="FFFFC000"/>
                </patternFill>
              </fill>
            </x14:dxf>
          </x14:cfRule>
          <x14:cfRule type="cellIs" priority="48" operator="equal" id="{2AB52313-19A4-4F16-92B4-EE957B5F7A54}">
            <xm:f>Lookups!$V$10</xm:f>
            <x14:dxf>
              <fill>
                <patternFill>
                  <bgColor rgb="FFFF0000"/>
                </patternFill>
              </fill>
            </x14:dxf>
          </x14:cfRule>
          <xm:sqref>R150</xm:sqref>
        </x14:conditionalFormatting>
        <x14:conditionalFormatting xmlns:xm="http://schemas.microsoft.com/office/excel/2006/main">
          <x14:cfRule type="cellIs" priority="43" operator="between" id="{B5377A5E-42B2-409F-9CB2-C3A48B03D651}">
            <xm:f>Lookups!$T$10</xm:f>
            <xm:f>Lookups!$T$30</xm:f>
            <x14:dxf>
              <font>
                <color auto="1"/>
              </font>
              <fill>
                <patternFill>
                  <bgColor rgb="FFFF0000"/>
                </patternFill>
              </fill>
            </x14:dxf>
          </x14:cfRule>
          <x14:cfRule type="cellIs" priority="44" operator="between" id="{4CC77B40-6571-4204-BDE8-75548505B9AE}">
            <xm:f>Lookups!$T$31</xm:f>
            <xm:f>Lookups!$T$35</xm:f>
            <x14:dxf>
              <fill>
                <patternFill>
                  <bgColor rgb="FFFFC000"/>
                </patternFill>
              </fill>
            </x14:dxf>
          </x14:cfRule>
          <x14:cfRule type="cellIs" priority="45" operator="between" id="{18CB72BA-2280-48A7-82C8-97AC118D7060}">
            <xm:f>Lookups!$T$36</xm:f>
            <xm:f>Lookups!$T$40</xm:f>
            <x14:dxf>
              <fill>
                <patternFill>
                  <bgColor rgb="FF92D050"/>
                </patternFill>
              </fill>
            </x14:dxf>
          </x14:cfRule>
          <xm:sqref>I150 L150 O150</xm:sqref>
        </x14:conditionalFormatting>
        <x14:conditionalFormatting xmlns:xm="http://schemas.microsoft.com/office/excel/2006/main">
          <x14:cfRule type="cellIs" priority="40" operator="equal" id="{79129231-207B-4CCE-AEBB-7B39931E3094}">
            <xm:f>Lookups!$V$12</xm:f>
            <x14:dxf>
              <fill>
                <patternFill>
                  <bgColor rgb="FF92D050"/>
                </patternFill>
              </fill>
            </x14:dxf>
          </x14:cfRule>
          <x14:cfRule type="cellIs" priority="41" operator="equal" id="{50852B56-9197-4F2F-84E0-052C46D73B21}">
            <xm:f>Lookups!$V$11</xm:f>
            <x14:dxf>
              <fill>
                <patternFill>
                  <bgColor rgb="FFFFC000"/>
                </patternFill>
              </fill>
            </x14:dxf>
          </x14:cfRule>
          <x14:cfRule type="cellIs" priority="42" operator="equal" id="{A222FF86-5A5C-47B6-A7E3-7BF546E070E3}">
            <xm:f>Lookups!$V$10</xm:f>
            <x14:dxf>
              <fill>
                <patternFill>
                  <bgColor rgb="FFFF0000"/>
                </patternFill>
              </fill>
            </x14:dxf>
          </x14:cfRule>
          <xm:sqref>R151</xm:sqref>
        </x14:conditionalFormatting>
        <x14:conditionalFormatting xmlns:xm="http://schemas.microsoft.com/office/excel/2006/main">
          <x14:cfRule type="cellIs" priority="37" operator="between" id="{38837A70-0A3F-4401-BDF4-2F92D5445350}">
            <xm:f>Lookups!$T$10</xm:f>
            <xm:f>Lookups!$T$30</xm:f>
            <x14:dxf>
              <font>
                <color auto="1"/>
              </font>
              <fill>
                <patternFill>
                  <bgColor rgb="FFFF0000"/>
                </patternFill>
              </fill>
            </x14:dxf>
          </x14:cfRule>
          <x14:cfRule type="cellIs" priority="38" operator="between" id="{7E3A5A62-6460-4812-A248-FD1375F884D5}">
            <xm:f>Lookups!$T$31</xm:f>
            <xm:f>Lookups!$T$35</xm:f>
            <x14:dxf>
              <fill>
                <patternFill>
                  <bgColor rgb="FFFFC000"/>
                </patternFill>
              </fill>
            </x14:dxf>
          </x14:cfRule>
          <x14:cfRule type="cellIs" priority="39" operator="between" id="{B13C08A9-A79F-4F6B-A382-2A89A838CFA0}">
            <xm:f>Lookups!$T$36</xm:f>
            <xm:f>Lookups!$T$40</xm:f>
            <x14:dxf>
              <fill>
                <patternFill>
                  <bgColor rgb="FF92D050"/>
                </patternFill>
              </fill>
            </x14:dxf>
          </x14:cfRule>
          <xm:sqref>I151 L151 O151</xm:sqref>
        </x14:conditionalFormatting>
        <x14:conditionalFormatting xmlns:xm="http://schemas.microsoft.com/office/excel/2006/main">
          <x14:cfRule type="cellIs" priority="34" operator="equal" id="{52DC6C97-DF72-4E63-96C4-F252154E52CB}">
            <xm:f>Lookups!$V$12</xm:f>
            <x14:dxf>
              <fill>
                <patternFill>
                  <bgColor rgb="FF92D050"/>
                </patternFill>
              </fill>
            </x14:dxf>
          </x14:cfRule>
          <x14:cfRule type="cellIs" priority="35" operator="equal" id="{B0E97FD0-DE75-4931-AEBB-C34D1FD21B9B}">
            <xm:f>Lookups!$V$11</xm:f>
            <x14:dxf>
              <fill>
                <patternFill>
                  <bgColor rgb="FFFFC000"/>
                </patternFill>
              </fill>
            </x14:dxf>
          </x14:cfRule>
          <x14:cfRule type="cellIs" priority="36" operator="equal" id="{0F7E0C99-3E27-4D3E-9AA1-AB9B1B61B6F9}">
            <xm:f>Lookups!$V$10</xm:f>
            <x14:dxf>
              <fill>
                <patternFill>
                  <bgColor rgb="FFFF0000"/>
                </patternFill>
              </fill>
            </x14:dxf>
          </x14:cfRule>
          <xm:sqref>R152</xm:sqref>
        </x14:conditionalFormatting>
        <x14:conditionalFormatting xmlns:xm="http://schemas.microsoft.com/office/excel/2006/main">
          <x14:cfRule type="cellIs" priority="31" operator="between" id="{78BA8239-5F9F-42E5-BD32-35B8B64C06FE}">
            <xm:f>Lookups!$T$10</xm:f>
            <xm:f>Lookups!$T$30</xm:f>
            <x14:dxf>
              <font>
                <color auto="1"/>
              </font>
              <fill>
                <patternFill>
                  <bgColor rgb="FFFF0000"/>
                </patternFill>
              </fill>
            </x14:dxf>
          </x14:cfRule>
          <x14:cfRule type="cellIs" priority="32" operator="between" id="{2B511955-DBE0-4E1F-A556-6F940A53C5CD}">
            <xm:f>Lookups!$T$31</xm:f>
            <xm:f>Lookups!$T$35</xm:f>
            <x14:dxf>
              <fill>
                <patternFill>
                  <bgColor rgb="FFFFC000"/>
                </patternFill>
              </fill>
            </x14:dxf>
          </x14:cfRule>
          <x14:cfRule type="cellIs" priority="33" operator="between" id="{38BAB779-CD9F-4164-BE66-2E50B27E0486}">
            <xm:f>Lookups!$T$36</xm:f>
            <xm:f>Lookups!$T$40</xm:f>
            <x14:dxf>
              <fill>
                <patternFill>
                  <bgColor rgb="FF92D050"/>
                </patternFill>
              </fill>
            </x14:dxf>
          </x14:cfRule>
          <xm:sqref>I152 L152 O152</xm:sqref>
        </x14:conditionalFormatting>
        <x14:conditionalFormatting xmlns:xm="http://schemas.microsoft.com/office/excel/2006/main">
          <x14:cfRule type="cellIs" priority="28" operator="equal" id="{82F12A85-AD74-4491-8099-F7D3E99D4BEF}">
            <xm:f>Lookups!$V$12</xm:f>
            <x14:dxf>
              <fill>
                <patternFill>
                  <bgColor rgb="FF92D050"/>
                </patternFill>
              </fill>
            </x14:dxf>
          </x14:cfRule>
          <x14:cfRule type="cellIs" priority="29" operator="equal" id="{69EC20E6-3F88-4171-9DE8-90CCA3218150}">
            <xm:f>Lookups!$V$11</xm:f>
            <x14:dxf>
              <fill>
                <patternFill>
                  <bgColor rgb="FFFFC000"/>
                </patternFill>
              </fill>
            </x14:dxf>
          </x14:cfRule>
          <x14:cfRule type="cellIs" priority="30" operator="equal" id="{741AC573-7DCA-4FF8-A8E7-2C38E4008BF2}">
            <xm:f>Lookups!$V$10</xm:f>
            <x14:dxf>
              <fill>
                <patternFill>
                  <bgColor rgb="FFFF0000"/>
                </patternFill>
              </fill>
            </x14:dxf>
          </x14:cfRule>
          <xm:sqref>R153</xm:sqref>
        </x14:conditionalFormatting>
        <x14:conditionalFormatting xmlns:xm="http://schemas.microsoft.com/office/excel/2006/main">
          <x14:cfRule type="cellIs" priority="25" operator="between" id="{FBF90AC8-DC60-4A0B-912C-FA7316416042}">
            <xm:f>Lookups!$T$10</xm:f>
            <xm:f>Lookups!$T$30</xm:f>
            <x14:dxf>
              <font>
                <color auto="1"/>
              </font>
              <fill>
                <patternFill>
                  <bgColor rgb="FFFF0000"/>
                </patternFill>
              </fill>
            </x14:dxf>
          </x14:cfRule>
          <x14:cfRule type="cellIs" priority="26" operator="between" id="{90D7B7B5-B03E-479D-8346-E6FD7A4DAE16}">
            <xm:f>Lookups!$T$31</xm:f>
            <xm:f>Lookups!$T$35</xm:f>
            <x14:dxf>
              <fill>
                <patternFill>
                  <bgColor rgb="FFFFC000"/>
                </patternFill>
              </fill>
            </x14:dxf>
          </x14:cfRule>
          <x14:cfRule type="cellIs" priority="27" operator="between" id="{D811ED94-5CE1-4084-A425-8A4454E422FB}">
            <xm:f>Lookups!$T$36</xm:f>
            <xm:f>Lookups!$T$40</xm:f>
            <x14:dxf>
              <fill>
                <patternFill>
                  <bgColor rgb="FF92D050"/>
                </patternFill>
              </fill>
            </x14:dxf>
          </x14:cfRule>
          <xm:sqref>I153 L153 O153</xm:sqref>
        </x14:conditionalFormatting>
        <x14:conditionalFormatting xmlns:xm="http://schemas.microsoft.com/office/excel/2006/main">
          <x14:cfRule type="cellIs" priority="22" operator="equal" id="{63BC0B0C-4CB7-4181-B5EB-074F7A403D8A}">
            <xm:f>Lookups!$V$12</xm:f>
            <x14:dxf>
              <fill>
                <patternFill>
                  <bgColor rgb="FF92D050"/>
                </patternFill>
              </fill>
            </x14:dxf>
          </x14:cfRule>
          <x14:cfRule type="cellIs" priority="23" operator="equal" id="{8D88A1EB-B645-4F09-82BF-33BFAE32FBF1}">
            <xm:f>Lookups!$V$11</xm:f>
            <x14:dxf>
              <fill>
                <patternFill>
                  <bgColor rgb="FFFFC000"/>
                </patternFill>
              </fill>
            </x14:dxf>
          </x14:cfRule>
          <x14:cfRule type="cellIs" priority="24" operator="equal" id="{A98FEFF7-845F-4016-B520-359A540A17C1}">
            <xm:f>Lookups!$V$10</xm:f>
            <x14:dxf>
              <fill>
                <patternFill>
                  <bgColor rgb="FFFF0000"/>
                </patternFill>
              </fill>
            </x14:dxf>
          </x14:cfRule>
          <xm:sqref>R154</xm:sqref>
        </x14:conditionalFormatting>
        <x14:conditionalFormatting xmlns:xm="http://schemas.microsoft.com/office/excel/2006/main">
          <x14:cfRule type="cellIs" priority="19" operator="between" id="{6466AD3B-05D3-4793-B5EF-91B602B801BA}">
            <xm:f>Lookups!$T$10</xm:f>
            <xm:f>Lookups!$T$30</xm:f>
            <x14:dxf>
              <font>
                <color auto="1"/>
              </font>
              <fill>
                <patternFill>
                  <bgColor rgb="FFFF0000"/>
                </patternFill>
              </fill>
            </x14:dxf>
          </x14:cfRule>
          <x14:cfRule type="cellIs" priority="20" operator="between" id="{A155E543-D89B-450E-837D-504BA016B907}">
            <xm:f>Lookups!$T$31</xm:f>
            <xm:f>Lookups!$T$35</xm:f>
            <x14:dxf>
              <fill>
                <patternFill>
                  <bgColor rgb="FFFFC000"/>
                </patternFill>
              </fill>
            </x14:dxf>
          </x14:cfRule>
          <x14:cfRule type="cellIs" priority="21" operator="between" id="{2DD017D9-A7AE-4500-B5EA-1D995207C53C}">
            <xm:f>Lookups!$T$36</xm:f>
            <xm:f>Lookups!$T$40</xm:f>
            <x14:dxf>
              <fill>
                <patternFill>
                  <bgColor rgb="FF92D050"/>
                </patternFill>
              </fill>
            </x14:dxf>
          </x14:cfRule>
          <xm:sqref>I154 L154 O154</xm:sqref>
        </x14:conditionalFormatting>
        <x14:conditionalFormatting xmlns:xm="http://schemas.microsoft.com/office/excel/2006/main">
          <x14:cfRule type="cellIs" priority="16" operator="equal" id="{AA57DB80-81A0-4B95-992E-0150DA35C030}">
            <xm:f>Lookups!$V$12</xm:f>
            <x14:dxf>
              <fill>
                <patternFill>
                  <bgColor rgb="FF92D050"/>
                </patternFill>
              </fill>
            </x14:dxf>
          </x14:cfRule>
          <x14:cfRule type="cellIs" priority="17" operator="equal" id="{6F586FFF-5D5D-4A76-AEF4-D886A45DB82C}">
            <xm:f>Lookups!$V$11</xm:f>
            <x14:dxf>
              <fill>
                <patternFill>
                  <bgColor rgb="FFFFC000"/>
                </patternFill>
              </fill>
            </x14:dxf>
          </x14:cfRule>
          <x14:cfRule type="cellIs" priority="18" operator="equal" id="{ADD820B0-DC69-4969-A213-F458D975763F}">
            <xm:f>Lookups!$V$10</xm:f>
            <x14:dxf>
              <fill>
                <patternFill>
                  <bgColor rgb="FFFF0000"/>
                </patternFill>
              </fill>
            </x14:dxf>
          </x14:cfRule>
          <xm:sqref>R155</xm:sqref>
        </x14:conditionalFormatting>
        <x14:conditionalFormatting xmlns:xm="http://schemas.microsoft.com/office/excel/2006/main">
          <x14:cfRule type="cellIs" priority="13" operator="between" id="{CE9E127B-E3B1-454E-9D29-2470E3C70675}">
            <xm:f>Lookups!$T$10</xm:f>
            <xm:f>Lookups!$T$30</xm:f>
            <x14:dxf>
              <font>
                <color auto="1"/>
              </font>
              <fill>
                <patternFill>
                  <bgColor rgb="FFFF0000"/>
                </patternFill>
              </fill>
            </x14:dxf>
          </x14:cfRule>
          <x14:cfRule type="cellIs" priority="14" operator="between" id="{B145CF66-D2B3-4E34-BCBA-A949D24FB153}">
            <xm:f>Lookups!$T$31</xm:f>
            <xm:f>Lookups!$T$35</xm:f>
            <x14:dxf>
              <fill>
                <patternFill>
                  <bgColor rgb="FFFFC000"/>
                </patternFill>
              </fill>
            </x14:dxf>
          </x14:cfRule>
          <x14:cfRule type="cellIs" priority="15" operator="between" id="{59E08CFA-FF4F-40F7-AF4A-F0E0F16D38EC}">
            <xm:f>Lookups!$T$36</xm:f>
            <xm:f>Lookups!$T$40</xm:f>
            <x14:dxf>
              <fill>
                <patternFill>
                  <bgColor rgb="FF92D050"/>
                </patternFill>
              </fill>
            </x14:dxf>
          </x14:cfRule>
          <xm:sqref>I155 L155 O155</xm:sqref>
        </x14:conditionalFormatting>
        <x14:conditionalFormatting xmlns:xm="http://schemas.microsoft.com/office/excel/2006/main">
          <x14:cfRule type="cellIs" priority="4" operator="equal" id="{B4BE1E27-BBD3-47EB-9F7C-8EF6D9CAC6CE}">
            <xm:f>Lookups!$V$12</xm:f>
            <x14:dxf>
              <fill>
                <patternFill>
                  <bgColor rgb="FF92D050"/>
                </patternFill>
              </fill>
            </x14:dxf>
          </x14:cfRule>
          <x14:cfRule type="cellIs" priority="5" operator="equal" id="{8BF42AF5-9508-41AE-A964-42A7160EA04C}">
            <xm:f>Lookups!$V$11</xm:f>
            <x14:dxf>
              <fill>
                <patternFill>
                  <bgColor rgb="FFFFC000"/>
                </patternFill>
              </fill>
            </x14:dxf>
          </x14:cfRule>
          <x14:cfRule type="cellIs" priority="6" operator="equal" id="{FF31C42B-6DE3-497B-A350-1B31BAA07F08}">
            <xm:f>Lookups!$V$10</xm:f>
            <x14:dxf>
              <fill>
                <patternFill>
                  <bgColor rgb="FFFF0000"/>
                </patternFill>
              </fill>
            </x14:dxf>
          </x14:cfRule>
          <xm:sqref>R201:R202</xm:sqref>
        </x14:conditionalFormatting>
        <x14:conditionalFormatting xmlns:xm="http://schemas.microsoft.com/office/excel/2006/main">
          <x14:cfRule type="cellIs" priority="1" operator="between" id="{AF22989D-4889-4ED4-BBFF-61280B36FF0A}">
            <xm:f>Lookups!$T$10</xm:f>
            <xm:f>Lookups!$T$30</xm:f>
            <x14:dxf>
              <font>
                <color auto="1"/>
              </font>
              <fill>
                <patternFill>
                  <bgColor rgb="FFFF0000"/>
                </patternFill>
              </fill>
            </x14:dxf>
          </x14:cfRule>
          <x14:cfRule type="cellIs" priority="2" operator="between" id="{12C8504A-B46D-4692-9484-B08CE9EB71B8}">
            <xm:f>Lookups!$T$31</xm:f>
            <xm:f>Lookups!$T$35</xm:f>
            <x14:dxf>
              <fill>
                <patternFill>
                  <bgColor rgb="FFFFC000"/>
                </patternFill>
              </fill>
            </x14:dxf>
          </x14:cfRule>
          <x14:cfRule type="cellIs" priority="3" operator="between" id="{065E2EF2-FB95-46E7-813B-8124133AD7C0}">
            <xm:f>Lookups!$T$36</xm:f>
            <xm:f>Lookups!$T$40</xm:f>
            <x14:dxf>
              <fill>
                <patternFill>
                  <bgColor rgb="FF92D050"/>
                </patternFill>
              </fill>
            </x14:dxf>
          </x14:cfRule>
          <xm:sqref>I201:I202 L201:L202 O201:O202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70E82EFD77084C8F74EB62DCD866BD" ma:contentTypeVersion="8" ma:contentTypeDescription="Create a new document." ma:contentTypeScope="" ma:versionID="8c2a7c2eac6cf860e1009edcb137f8ba">
  <xsd:schema xmlns:xsd="http://www.w3.org/2001/XMLSchema" xmlns:xs="http://www.w3.org/2001/XMLSchema" xmlns:p="http://schemas.microsoft.com/office/2006/metadata/properties" xmlns:ns2="bf84cd6d-7609-4d79-8af5-cd1ccae71931" targetNamespace="http://schemas.microsoft.com/office/2006/metadata/properties" ma:root="true" ma:fieldsID="13fbc2e41eef3bec72394038a9e00ec1" ns2:_="">
    <xsd:import namespace="bf84cd6d-7609-4d79-8af5-cd1ccae719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4cd6d-7609-4d79-8af5-cd1ccae71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20C4F1-23E1-46B5-AEA8-9354B79D4B2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FF3F300-22B9-4F01-B456-BAF60FF2D14E}">
  <ds:schemaRefs>
    <ds:schemaRef ds:uri="http://schemas.microsoft.com/sharepoint/v3/contenttype/forms"/>
  </ds:schemaRefs>
</ds:datastoreItem>
</file>

<file path=customXml/itemProps3.xml><?xml version="1.0" encoding="utf-8"?>
<ds:datastoreItem xmlns:ds="http://schemas.openxmlformats.org/officeDocument/2006/customXml" ds:itemID="{C72D49EE-51AD-4ACD-A737-98113C66A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4cd6d-7609-4d79-8af5-cd1ccae71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26</vt:i4>
      </vt:variant>
    </vt:vector>
  </HeadingPairs>
  <TitlesOfParts>
    <vt:vector size="38" baseType="lpstr">
      <vt:lpstr>Introduction</vt:lpstr>
      <vt:lpstr>Guidance</vt:lpstr>
      <vt:lpstr>Crime      </vt:lpstr>
      <vt:lpstr>Education &amp; Skills</vt:lpstr>
      <vt:lpstr>Employment &amp; Economy</vt:lpstr>
      <vt:lpstr>Environment     </vt:lpstr>
      <vt:lpstr>Fire          </vt:lpstr>
      <vt:lpstr>Housing</vt:lpstr>
      <vt:lpstr>Health       </vt:lpstr>
      <vt:lpstr>Social Services</vt:lpstr>
      <vt:lpstr>Lookups</vt:lpstr>
      <vt:lpstr>v2.3.1 update log</vt:lpstr>
      <vt:lpstr>Level1agencysaving</vt:lpstr>
      <vt:lpstr>Level2agencysaving</vt:lpstr>
      <vt:lpstr>Outcomecategory</vt:lpstr>
      <vt:lpstr>Outcomedetail</vt:lpstr>
      <vt:lpstr>'Crime      '!Print_Area</vt:lpstr>
      <vt:lpstr>'Education &amp; Skills'!Print_Area</vt:lpstr>
      <vt:lpstr>'Employment &amp; Economy'!Print_Area</vt:lpstr>
      <vt:lpstr>'Environment     '!Print_Area</vt:lpstr>
      <vt:lpstr>'Fire          '!Print_Area</vt:lpstr>
      <vt:lpstr>'Health       '!Print_Area</vt:lpstr>
      <vt:lpstr>Housing!Print_Area</vt:lpstr>
      <vt:lpstr>'Social Services'!Print_Area</vt:lpstr>
      <vt:lpstr>'v2.3.1 update log'!Print_Area</vt:lpstr>
      <vt:lpstr>'Crime      '!Print_Titles</vt:lpstr>
      <vt:lpstr>'Education &amp; Skills'!Print_Titles</vt:lpstr>
      <vt:lpstr>'Employment &amp; Economy'!Print_Titles</vt:lpstr>
      <vt:lpstr>'Environment     '!Print_Titles</vt:lpstr>
      <vt:lpstr>'Fire          '!Print_Titles</vt:lpstr>
      <vt:lpstr>'Health       '!Print_Titles</vt:lpstr>
      <vt:lpstr>Housing!Print_Titles</vt:lpstr>
      <vt:lpstr>'Social Services'!Print_Titles</vt:lpstr>
      <vt:lpstr>'v2.3.1 update log'!Print_Titles</vt:lpstr>
      <vt:lpstr>RAGassessment</vt:lpstr>
      <vt:lpstr>Unit</vt:lpstr>
      <vt:lpstr>Update</vt:lpstr>
      <vt:lpstr>Year</vt:lpstr>
    </vt:vector>
  </TitlesOfParts>
  <Company>TMBC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 cost database</dc:title>
  <dc:creator>Francis Markus</dc:creator>
  <cp:keywords>New Economy</cp:keywords>
  <cp:lastModifiedBy>Markus, Francis</cp:lastModifiedBy>
  <cp:lastPrinted>2021-07-13T15:45:32Z</cp:lastPrinted>
  <dcterms:created xsi:type="dcterms:W3CDTF">2011-06-29T07:05:00Z</dcterms:created>
  <dcterms:modified xsi:type="dcterms:W3CDTF">2023-02-28T10:55:19Z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0x010100D570E82EFD77084C8F74EB62DCD866BD</vt:lpwstr>
  </property>
  <property fmtid="{D5CDD505-2E9C-101B-9397-08002B2CF9AE}" pid="4" name="Document Type">
    <vt:lpwstr>Data Analysis</vt:lpwstr>
  </property>
  <property fmtid="{D5CDD505-2E9C-101B-9397-08002B2CF9AE}" pid="5" name="Description0">
    <vt:lpwstr>Database of costs across different boroughs involved in Community Budgets</vt:lpwstr>
  </property>
  <property fmtid="{D5CDD505-2E9C-101B-9397-08002B2CF9AE}" pid="6" name="Security0">
    <vt:lpwstr>Restricted</vt:lpwstr>
  </property>
</Properties>
</file>